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A8D1432F-59BB-4980-ABA8-9611E8F33272}" xr6:coauthVersionLast="47" xr6:coauthVersionMax="47" xr10:uidLastSave="{00000000-0000-0000-0000-000000000000}"/>
  <bookViews>
    <workbookView xWindow="-108" yWindow="-108" windowWidth="23256" windowHeight="12456" xr2:uid="{5115D173-0769-45E6-97A5-BE3ED292126D}"/>
  </bookViews>
  <sheets>
    <sheet name="Bid Recap &amp; Summary" sheetId="2" r:id="rId1"/>
    <sheet name="Estimate" sheetId="1" r:id="rId2"/>
  </sheets>
  <definedNames>
    <definedName name="_xlnm._FilterDatabase" localSheetId="1" hidden="1">Estimate!$A$6:$U$628</definedName>
    <definedName name="_xlnm.Print_Area" localSheetId="0">'Bid Recap &amp; Summary'!$A$1:$M$40</definedName>
    <definedName name="_xlnm.Print_Area" localSheetId="1">Estimate!$A$1:$R$629</definedName>
    <definedName name="_xlnm.Print_Titles" localSheetId="1">Estimate!$1:$6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3" i="1" l="1"/>
  <c r="K483" i="1"/>
  <c r="J483" i="1"/>
  <c r="A483" i="1"/>
  <c r="N480" i="1"/>
  <c r="K480" i="1"/>
  <c r="I480" i="1"/>
  <c r="J480" i="1" s="1"/>
  <c r="O480" i="1" s="1"/>
  <c r="A480" i="1"/>
  <c r="N479" i="1"/>
  <c r="K479" i="1"/>
  <c r="I479" i="1"/>
  <c r="J479" i="1" s="1"/>
  <c r="A479" i="1"/>
  <c r="N478" i="1"/>
  <c r="K478" i="1"/>
  <c r="I478" i="1"/>
  <c r="J478" i="1" s="1"/>
  <c r="A478" i="1"/>
  <c r="N477" i="1"/>
  <c r="K477" i="1"/>
  <c r="I477" i="1"/>
  <c r="J477" i="1" s="1"/>
  <c r="L477" i="1" s="1"/>
  <c r="A477" i="1"/>
  <c r="N476" i="1"/>
  <c r="K476" i="1"/>
  <c r="I476" i="1"/>
  <c r="J476" i="1" s="1"/>
  <c r="A476" i="1"/>
  <c r="N475" i="1"/>
  <c r="K475" i="1"/>
  <c r="I475" i="1"/>
  <c r="J475" i="1" s="1"/>
  <c r="A475" i="1"/>
  <c r="N474" i="1"/>
  <c r="K474" i="1"/>
  <c r="I474" i="1"/>
  <c r="J474" i="1" s="1"/>
  <c r="A474" i="1"/>
  <c r="N473" i="1"/>
  <c r="K473" i="1"/>
  <c r="I473" i="1"/>
  <c r="J473" i="1" s="1"/>
  <c r="A473" i="1"/>
  <c r="N472" i="1"/>
  <c r="K472" i="1"/>
  <c r="I472" i="1"/>
  <c r="J472" i="1" s="1"/>
  <c r="A472" i="1"/>
  <c r="N471" i="1"/>
  <c r="K471" i="1"/>
  <c r="I471" i="1"/>
  <c r="J471" i="1" s="1"/>
  <c r="A471" i="1"/>
  <c r="N470" i="1"/>
  <c r="K470" i="1"/>
  <c r="I470" i="1"/>
  <c r="J470" i="1" s="1"/>
  <c r="A470" i="1"/>
  <c r="N469" i="1"/>
  <c r="K469" i="1"/>
  <c r="I469" i="1"/>
  <c r="J469" i="1" s="1"/>
  <c r="A469" i="1"/>
  <c r="N468" i="1"/>
  <c r="K468" i="1"/>
  <c r="J468" i="1"/>
  <c r="A468" i="1"/>
  <c r="N467" i="1"/>
  <c r="K467" i="1"/>
  <c r="J467" i="1"/>
  <c r="A467" i="1"/>
  <c r="N466" i="1"/>
  <c r="K466" i="1"/>
  <c r="J466" i="1"/>
  <c r="A466" i="1"/>
  <c r="N463" i="1"/>
  <c r="K463" i="1"/>
  <c r="I463" i="1"/>
  <c r="J463" i="1" s="1"/>
  <c r="A463" i="1"/>
  <c r="N462" i="1"/>
  <c r="K462" i="1"/>
  <c r="I462" i="1"/>
  <c r="J462" i="1" s="1"/>
  <c r="O462" i="1" s="1"/>
  <c r="A462" i="1"/>
  <c r="N461" i="1"/>
  <c r="K461" i="1"/>
  <c r="I461" i="1"/>
  <c r="J461" i="1" s="1"/>
  <c r="A461" i="1"/>
  <c r="N460" i="1"/>
  <c r="K460" i="1"/>
  <c r="I460" i="1"/>
  <c r="J460" i="1" s="1"/>
  <c r="A460" i="1"/>
  <c r="N459" i="1"/>
  <c r="K459" i="1"/>
  <c r="I459" i="1"/>
  <c r="J459" i="1" s="1"/>
  <c r="A459" i="1"/>
  <c r="N458" i="1"/>
  <c r="K458" i="1"/>
  <c r="I458" i="1"/>
  <c r="J458" i="1" s="1"/>
  <c r="A458" i="1"/>
  <c r="N457" i="1"/>
  <c r="K457" i="1"/>
  <c r="I457" i="1"/>
  <c r="J457" i="1" s="1"/>
  <c r="A457" i="1"/>
  <c r="N456" i="1"/>
  <c r="K456" i="1"/>
  <c r="I456" i="1"/>
  <c r="J456" i="1" s="1"/>
  <c r="O456" i="1" s="1"/>
  <c r="A456" i="1"/>
  <c r="N455" i="1"/>
  <c r="K455" i="1"/>
  <c r="I455" i="1"/>
  <c r="J455" i="1" s="1"/>
  <c r="A455" i="1"/>
  <c r="N454" i="1"/>
  <c r="K454" i="1"/>
  <c r="I454" i="1"/>
  <c r="J454" i="1" s="1"/>
  <c r="A454" i="1"/>
  <c r="N453" i="1"/>
  <c r="K453" i="1"/>
  <c r="I453" i="1"/>
  <c r="J453" i="1" s="1"/>
  <c r="A453" i="1"/>
  <c r="N452" i="1"/>
  <c r="K452" i="1"/>
  <c r="I452" i="1"/>
  <c r="J452" i="1" s="1"/>
  <c r="A452" i="1"/>
  <c r="N451" i="1"/>
  <c r="K451" i="1"/>
  <c r="I451" i="1"/>
  <c r="J451" i="1" s="1"/>
  <c r="A451" i="1"/>
  <c r="N450" i="1"/>
  <c r="K450" i="1"/>
  <c r="I450" i="1"/>
  <c r="J450" i="1" s="1"/>
  <c r="O450" i="1" s="1"/>
  <c r="A450" i="1"/>
  <c r="N449" i="1"/>
  <c r="K449" i="1"/>
  <c r="I449" i="1"/>
  <c r="J449" i="1" s="1"/>
  <c r="A449" i="1"/>
  <c r="N448" i="1"/>
  <c r="K448" i="1"/>
  <c r="I448" i="1"/>
  <c r="J448" i="1" s="1"/>
  <c r="A448" i="1"/>
  <c r="N447" i="1"/>
  <c r="K447" i="1"/>
  <c r="I447" i="1"/>
  <c r="J447" i="1" s="1"/>
  <c r="A447" i="1"/>
  <c r="N446" i="1"/>
  <c r="K446" i="1"/>
  <c r="I446" i="1"/>
  <c r="J446" i="1" s="1"/>
  <c r="A446" i="1"/>
  <c r="N445" i="1"/>
  <c r="K445" i="1"/>
  <c r="I445" i="1"/>
  <c r="J445" i="1" s="1"/>
  <c r="A445" i="1"/>
  <c r="N444" i="1"/>
  <c r="K444" i="1"/>
  <c r="I444" i="1"/>
  <c r="J444" i="1" s="1"/>
  <c r="A444" i="1"/>
  <c r="N443" i="1"/>
  <c r="K443" i="1"/>
  <c r="J443" i="1"/>
  <c r="A443" i="1"/>
  <c r="N575" i="1"/>
  <c r="K575" i="1"/>
  <c r="I575" i="1"/>
  <c r="J575" i="1" s="1"/>
  <c r="A575" i="1"/>
  <c r="N574" i="1"/>
  <c r="K574" i="1"/>
  <c r="I574" i="1"/>
  <c r="J574" i="1" s="1"/>
  <c r="A574" i="1"/>
  <c r="N573" i="1"/>
  <c r="K573" i="1"/>
  <c r="I573" i="1"/>
  <c r="J573" i="1" s="1"/>
  <c r="A573" i="1"/>
  <c r="Q572" i="1"/>
  <c r="P572" i="1"/>
  <c r="O572" i="1"/>
  <c r="N572" i="1"/>
  <c r="M572" i="1"/>
  <c r="L572" i="1"/>
  <c r="K572" i="1"/>
  <c r="J572" i="1"/>
  <c r="I572" i="1"/>
  <c r="A572" i="1"/>
  <c r="Q571" i="1"/>
  <c r="P571" i="1"/>
  <c r="O571" i="1"/>
  <c r="N571" i="1"/>
  <c r="M571" i="1"/>
  <c r="L571" i="1"/>
  <c r="K571" i="1"/>
  <c r="J571" i="1"/>
  <c r="I571" i="1"/>
  <c r="A571" i="1"/>
  <c r="N570" i="1"/>
  <c r="K570" i="1"/>
  <c r="I570" i="1"/>
  <c r="J570" i="1" s="1"/>
  <c r="A570" i="1"/>
  <c r="N569" i="1"/>
  <c r="K569" i="1"/>
  <c r="I569" i="1"/>
  <c r="J569" i="1" s="1"/>
  <c r="A569" i="1"/>
  <c r="Q568" i="1"/>
  <c r="P568" i="1"/>
  <c r="O568" i="1"/>
  <c r="N568" i="1"/>
  <c r="M568" i="1"/>
  <c r="L568" i="1"/>
  <c r="K568" i="1"/>
  <c r="J568" i="1"/>
  <c r="I568" i="1"/>
  <c r="A568" i="1"/>
  <c r="Q567" i="1"/>
  <c r="P567" i="1"/>
  <c r="O567" i="1"/>
  <c r="N567" i="1"/>
  <c r="M567" i="1"/>
  <c r="L567" i="1"/>
  <c r="K567" i="1"/>
  <c r="J567" i="1"/>
  <c r="I567" i="1"/>
  <c r="A567" i="1"/>
  <c r="Q566" i="1"/>
  <c r="P566" i="1"/>
  <c r="O566" i="1"/>
  <c r="N566" i="1"/>
  <c r="M566" i="1"/>
  <c r="L566" i="1"/>
  <c r="K566" i="1"/>
  <c r="J566" i="1"/>
  <c r="I566" i="1"/>
  <c r="A566" i="1"/>
  <c r="N565" i="1"/>
  <c r="K565" i="1"/>
  <c r="I565" i="1"/>
  <c r="J565" i="1" s="1"/>
  <c r="A565" i="1"/>
  <c r="N564" i="1"/>
  <c r="K564" i="1"/>
  <c r="I564" i="1"/>
  <c r="J564" i="1" s="1"/>
  <c r="A564" i="1"/>
  <c r="N563" i="1"/>
  <c r="K563" i="1"/>
  <c r="I563" i="1"/>
  <c r="J563" i="1" s="1"/>
  <c r="A563" i="1"/>
  <c r="N562" i="1"/>
  <c r="K562" i="1"/>
  <c r="I562" i="1"/>
  <c r="J562" i="1" s="1"/>
  <c r="A562" i="1"/>
  <c r="N561" i="1"/>
  <c r="K561" i="1"/>
  <c r="I561" i="1"/>
  <c r="J561" i="1" s="1"/>
  <c r="A561" i="1"/>
  <c r="N560" i="1"/>
  <c r="K560" i="1"/>
  <c r="I560" i="1"/>
  <c r="J560" i="1" s="1"/>
  <c r="A560" i="1"/>
  <c r="N559" i="1"/>
  <c r="K559" i="1"/>
  <c r="I559" i="1"/>
  <c r="J559" i="1" s="1"/>
  <c r="A559" i="1"/>
  <c r="Q558" i="1"/>
  <c r="P558" i="1"/>
  <c r="O558" i="1"/>
  <c r="N558" i="1"/>
  <c r="M558" i="1"/>
  <c r="L558" i="1"/>
  <c r="K558" i="1"/>
  <c r="J558" i="1"/>
  <c r="I558" i="1"/>
  <c r="A558" i="1"/>
  <c r="Q557" i="1"/>
  <c r="P557" i="1"/>
  <c r="O557" i="1"/>
  <c r="N557" i="1"/>
  <c r="M557" i="1"/>
  <c r="L557" i="1"/>
  <c r="K557" i="1"/>
  <c r="J557" i="1"/>
  <c r="I557" i="1"/>
  <c r="A557" i="1"/>
  <c r="N556" i="1"/>
  <c r="K556" i="1"/>
  <c r="J556" i="1"/>
  <c r="A556" i="1"/>
  <c r="N555" i="1"/>
  <c r="K555" i="1"/>
  <c r="J555" i="1"/>
  <c r="A555" i="1"/>
  <c r="Q554" i="1"/>
  <c r="P554" i="1"/>
  <c r="O554" i="1"/>
  <c r="N554" i="1"/>
  <c r="M554" i="1"/>
  <c r="L554" i="1"/>
  <c r="K554" i="1"/>
  <c r="J554" i="1"/>
  <c r="I554" i="1"/>
  <c r="A554" i="1"/>
  <c r="Q553" i="1"/>
  <c r="P553" i="1"/>
  <c r="O553" i="1"/>
  <c r="N553" i="1"/>
  <c r="M553" i="1"/>
  <c r="L553" i="1"/>
  <c r="K553" i="1"/>
  <c r="J553" i="1"/>
  <c r="I553" i="1"/>
  <c r="A553" i="1"/>
  <c r="N551" i="1"/>
  <c r="K551" i="1"/>
  <c r="J551" i="1"/>
  <c r="A551" i="1"/>
  <c r="Q550" i="1"/>
  <c r="P550" i="1"/>
  <c r="O550" i="1"/>
  <c r="N550" i="1"/>
  <c r="M550" i="1"/>
  <c r="L550" i="1"/>
  <c r="K550" i="1"/>
  <c r="J550" i="1"/>
  <c r="I550" i="1"/>
  <c r="A550" i="1"/>
  <c r="N548" i="1"/>
  <c r="K548" i="1"/>
  <c r="I548" i="1"/>
  <c r="J548" i="1" s="1"/>
  <c r="N547" i="1"/>
  <c r="K547" i="1"/>
  <c r="I547" i="1"/>
  <c r="J547" i="1" s="1"/>
  <c r="A547" i="1"/>
  <c r="N546" i="1"/>
  <c r="K546" i="1"/>
  <c r="I546" i="1"/>
  <c r="J546" i="1" s="1"/>
  <c r="A546" i="1"/>
  <c r="N545" i="1"/>
  <c r="K545" i="1"/>
  <c r="I545" i="1"/>
  <c r="J545" i="1" s="1"/>
  <c r="A545" i="1"/>
  <c r="N544" i="1"/>
  <c r="K544" i="1"/>
  <c r="I544" i="1"/>
  <c r="J544" i="1" s="1"/>
  <c r="A544" i="1"/>
  <c r="N543" i="1"/>
  <c r="K543" i="1"/>
  <c r="I543" i="1"/>
  <c r="J543" i="1" s="1"/>
  <c r="A543" i="1"/>
  <c r="N542" i="1"/>
  <c r="K542" i="1"/>
  <c r="I542" i="1"/>
  <c r="J542" i="1" s="1"/>
  <c r="A542" i="1"/>
  <c r="N541" i="1"/>
  <c r="K541" i="1"/>
  <c r="I541" i="1"/>
  <c r="J541" i="1" s="1"/>
  <c r="A541" i="1"/>
  <c r="Q540" i="1"/>
  <c r="P540" i="1"/>
  <c r="O540" i="1"/>
  <c r="N540" i="1"/>
  <c r="M540" i="1"/>
  <c r="L540" i="1"/>
  <c r="K540" i="1"/>
  <c r="J540" i="1"/>
  <c r="I540" i="1"/>
  <c r="A540" i="1"/>
  <c r="N538" i="1"/>
  <c r="K538" i="1"/>
  <c r="I538" i="1"/>
  <c r="J538" i="1" s="1"/>
  <c r="A538" i="1"/>
  <c r="Q537" i="1"/>
  <c r="P537" i="1"/>
  <c r="O537" i="1"/>
  <c r="N537" i="1"/>
  <c r="M537" i="1"/>
  <c r="L537" i="1"/>
  <c r="K537" i="1"/>
  <c r="J537" i="1"/>
  <c r="I537" i="1"/>
  <c r="A537" i="1"/>
  <c r="N534" i="1"/>
  <c r="K534" i="1"/>
  <c r="I534" i="1"/>
  <c r="J534" i="1" s="1"/>
  <c r="A534" i="1"/>
  <c r="N533" i="1"/>
  <c r="K533" i="1"/>
  <c r="I533" i="1"/>
  <c r="J533" i="1" s="1"/>
  <c r="A533" i="1"/>
  <c r="N532" i="1"/>
  <c r="K532" i="1"/>
  <c r="I532" i="1"/>
  <c r="J532" i="1" s="1"/>
  <c r="A532" i="1"/>
  <c r="N531" i="1"/>
  <c r="K531" i="1"/>
  <c r="I531" i="1"/>
  <c r="J531" i="1" s="1"/>
  <c r="A531" i="1"/>
  <c r="N530" i="1"/>
  <c r="K530" i="1"/>
  <c r="I530" i="1"/>
  <c r="J530" i="1" s="1"/>
  <c r="A530" i="1"/>
  <c r="N529" i="1"/>
  <c r="K529" i="1"/>
  <c r="I529" i="1"/>
  <c r="J529" i="1" s="1"/>
  <c r="A529" i="1"/>
  <c r="N528" i="1"/>
  <c r="K528" i="1"/>
  <c r="I528" i="1"/>
  <c r="J528" i="1" s="1"/>
  <c r="A528" i="1"/>
  <c r="N527" i="1"/>
  <c r="K527" i="1"/>
  <c r="I527" i="1"/>
  <c r="J527" i="1" s="1"/>
  <c r="A527" i="1"/>
  <c r="N526" i="1"/>
  <c r="K526" i="1"/>
  <c r="I526" i="1"/>
  <c r="J526" i="1" s="1"/>
  <c r="A526" i="1"/>
  <c r="N525" i="1"/>
  <c r="K525" i="1"/>
  <c r="I525" i="1"/>
  <c r="J525" i="1" s="1"/>
  <c r="A525" i="1"/>
  <c r="N524" i="1"/>
  <c r="K524" i="1"/>
  <c r="I524" i="1"/>
  <c r="J524" i="1" s="1"/>
  <c r="A524" i="1"/>
  <c r="N523" i="1"/>
  <c r="K523" i="1"/>
  <c r="I523" i="1"/>
  <c r="J523" i="1" s="1"/>
  <c r="A523" i="1"/>
  <c r="N522" i="1"/>
  <c r="K522" i="1"/>
  <c r="I522" i="1"/>
  <c r="J522" i="1" s="1"/>
  <c r="A522" i="1"/>
  <c r="N521" i="1"/>
  <c r="K521" i="1"/>
  <c r="I521" i="1"/>
  <c r="J521" i="1" s="1"/>
  <c r="A521" i="1"/>
  <c r="N520" i="1"/>
  <c r="K520" i="1"/>
  <c r="I520" i="1"/>
  <c r="J520" i="1" s="1"/>
  <c r="A520" i="1"/>
  <c r="N519" i="1"/>
  <c r="K519" i="1"/>
  <c r="I519" i="1"/>
  <c r="J519" i="1" s="1"/>
  <c r="A519" i="1"/>
  <c r="Q518" i="1"/>
  <c r="P518" i="1"/>
  <c r="O518" i="1"/>
  <c r="N518" i="1"/>
  <c r="M518" i="1"/>
  <c r="L518" i="1"/>
  <c r="K518" i="1"/>
  <c r="J518" i="1"/>
  <c r="I518" i="1"/>
  <c r="A518" i="1"/>
  <c r="N516" i="1"/>
  <c r="K516" i="1"/>
  <c r="I516" i="1"/>
  <c r="J516" i="1" s="1"/>
  <c r="A516" i="1"/>
  <c r="N515" i="1"/>
  <c r="K515" i="1"/>
  <c r="I515" i="1"/>
  <c r="J515" i="1" s="1"/>
  <c r="A515" i="1"/>
  <c r="N514" i="1"/>
  <c r="K514" i="1"/>
  <c r="I514" i="1"/>
  <c r="J514" i="1" s="1"/>
  <c r="A514" i="1"/>
  <c r="N513" i="1"/>
  <c r="K513" i="1"/>
  <c r="I513" i="1"/>
  <c r="J513" i="1" s="1"/>
  <c r="A513" i="1"/>
  <c r="Q512" i="1"/>
  <c r="P512" i="1"/>
  <c r="O512" i="1"/>
  <c r="N512" i="1"/>
  <c r="M512" i="1"/>
  <c r="L512" i="1"/>
  <c r="K512" i="1"/>
  <c r="J512" i="1"/>
  <c r="I512" i="1"/>
  <c r="A512" i="1"/>
  <c r="Q511" i="1"/>
  <c r="P511" i="1"/>
  <c r="O511" i="1"/>
  <c r="N511" i="1"/>
  <c r="M511" i="1"/>
  <c r="L511" i="1"/>
  <c r="K511" i="1"/>
  <c r="J511" i="1"/>
  <c r="I511" i="1"/>
  <c r="A511" i="1"/>
  <c r="Q510" i="1"/>
  <c r="P510" i="1"/>
  <c r="O510" i="1"/>
  <c r="N510" i="1"/>
  <c r="M510" i="1"/>
  <c r="L510" i="1"/>
  <c r="K510" i="1"/>
  <c r="J510" i="1"/>
  <c r="I510" i="1"/>
  <c r="A510" i="1"/>
  <c r="N509" i="1"/>
  <c r="K509" i="1"/>
  <c r="J509" i="1"/>
  <c r="A509" i="1"/>
  <c r="N508" i="1"/>
  <c r="K508" i="1"/>
  <c r="J508" i="1"/>
  <c r="A508" i="1"/>
  <c r="N507" i="1"/>
  <c r="K507" i="1"/>
  <c r="J507" i="1"/>
  <c r="A507" i="1"/>
  <c r="N506" i="1"/>
  <c r="K506" i="1"/>
  <c r="J506" i="1"/>
  <c r="A506" i="1"/>
  <c r="Q505" i="1"/>
  <c r="P505" i="1"/>
  <c r="O505" i="1"/>
  <c r="N505" i="1"/>
  <c r="M505" i="1"/>
  <c r="L505" i="1"/>
  <c r="K505" i="1"/>
  <c r="J505" i="1"/>
  <c r="I505" i="1"/>
  <c r="A505" i="1"/>
  <c r="Q504" i="1"/>
  <c r="P504" i="1"/>
  <c r="O504" i="1"/>
  <c r="N504" i="1"/>
  <c r="M504" i="1"/>
  <c r="L504" i="1"/>
  <c r="K504" i="1"/>
  <c r="J504" i="1"/>
  <c r="I504" i="1"/>
  <c r="A504" i="1"/>
  <c r="N503" i="1"/>
  <c r="K503" i="1"/>
  <c r="J503" i="1"/>
  <c r="A503" i="1"/>
  <c r="N502" i="1"/>
  <c r="K502" i="1"/>
  <c r="J502" i="1"/>
  <c r="A502" i="1"/>
  <c r="Q501" i="1"/>
  <c r="P501" i="1"/>
  <c r="O501" i="1"/>
  <c r="N501" i="1"/>
  <c r="M501" i="1"/>
  <c r="L501" i="1"/>
  <c r="K501" i="1"/>
  <c r="J501" i="1"/>
  <c r="I501" i="1"/>
  <c r="A501" i="1"/>
  <c r="Q500" i="1"/>
  <c r="P500" i="1"/>
  <c r="O500" i="1"/>
  <c r="N500" i="1"/>
  <c r="M500" i="1"/>
  <c r="L500" i="1"/>
  <c r="K500" i="1"/>
  <c r="J500" i="1"/>
  <c r="I500" i="1"/>
  <c r="A500" i="1"/>
  <c r="N499" i="1"/>
  <c r="K499" i="1"/>
  <c r="J499" i="1"/>
  <c r="A499" i="1"/>
  <c r="N498" i="1"/>
  <c r="K498" i="1"/>
  <c r="J498" i="1"/>
  <c r="A498" i="1"/>
  <c r="N497" i="1"/>
  <c r="K497" i="1"/>
  <c r="J497" i="1"/>
  <c r="A497" i="1"/>
  <c r="Q496" i="1"/>
  <c r="P496" i="1"/>
  <c r="O496" i="1"/>
  <c r="N496" i="1"/>
  <c r="M496" i="1"/>
  <c r="L496" i="1"/>
  <c r="K496" i="1"/>
  <c r="J496" i="1"/>
  <c r="I496" i="1"/>
  <c r="A496" i="1"/>
  <c r="Q495" i="1"/>
  <c r="P495" i="1"/>
  <c r="O495" i="1"/>
  <c r="N495" i="1"/>
  <c r="M495" i="1"/>
  <c r="L495" i="1"/>
  <c r="K495" i="1"/>
  <c r="J495" i="1"/>
  <c r="I495" i="1"/>
  <c r="A495" i="1"/>
  <c r="N494" i="1"/>
  <c r="K494" i="1"/>
  <c r="J494" i="1"/>
  <c r="A494" i="1"/>
  <c r="N493" i="1"/>
  <c r="K493" i="1"/>
  <c r="J493" i="1"/>
  <c r="A493" i="1"/>
  <c r="Q492" i="1"/>
  <c r="P492" i="1"/>
  <c r="O492" i="1"/>
  <c r="N492" i="1"/>
  <c r="M492" i="1"/>
  <c r="L492" i="1"/>
  <c r="K492" i="1"/>
  <c r="J492" i="1"/>
  <c r="I492" i="1"/>
  <c r="A492" i="1"/>
  <c r="Q491" i="1"/>
  <c r="P491" i="1"/>
  <c r="O491" i="1"/>
  <c r="N491" i="1"/>
  <c r="M491" i="1"/>
  <c r="L491" i="1"/>
  <c r="K491" i="1"/>
  <c r="J491" i="1"/>
  <c r="I491" i="1"/>
  <c r="A491" i="1"/>
  <c r="N489" i="1"/>
  <c r="K489" i="1"/>
  <c r="J489" i="1"/>
  <c r="A489" i="1"/>
  <c r="N488" i="1"/>
  <c r="K488" i="1"/>
  <c r="J488" i="1"/>
  <c r="A488" i="1"/>
  <c r="N487" i="1"/>
  <c r="K487" i="1"/>
  <c r="J487" i="1"/>
  <c r="A487" i="1"/>
  <c r="Q486" i="1"/>
  <c r="P486" i="1"/>
  <c r="O486" i="1"/>
  <c r="N486" i="1"/>
  <c r="M486" i="1"/>
  <c r="L486" i="1"/>
  <c r="K486" i="1"/>
  <c r="J486" i="1"/>
  <c r="I486" i="1"/>
  <c r="A486" i="1"/>
  <c r="Q485" i="1"/>
  <c r="P485" i="1"/>
  <c r="O485" i="1"/>
  <c r="N485" i="1"/>
  <c r="M485" i="1"/>
  <c r="L485" i="1"/>
  <c r="K485" i="1"/>
  <c r="J485" i="1"/>
  <c r="I485" i="1"/>
  <c r="A485" i="1"/>
  <c r="N365" i="1"/>
  <c r="K365" i="1"/>
  <c r="I365" i="1"/>
  <c r="J365" i="1" s="1"/>
  <c r="A365" i="1"/>
  <c r="N364" i="1"/>
  <c r="K364" i="1"/>
  <c r="I364" i="1"/>
  <c r="J364" i="1" s="1"/>
  <c r="A364" i="1"/>
  <c r="N362" i="1"/>
  <c r="K362" i="1"/>
  <c r="I362" i="1"/>
  <c r="J362" i="1" s="1"/>
  <c r="A362" i="1"/>
  <c r="N361" i="1"/>
  <c r="K361" i="1"/>
  <c r="I361" i="1"/>
  <c r="J361" i="1" s="1"/>
  <c r="A361" i="1"/>
  <c r="N358" i="1"/>
  <c r="K358" i="1"/>
  <c r="I358" i="1"/>
  <c r="J358" i="1" s="1"/>
  <c r="A358" i="1"/>
  <c r="N357" i="1"/>
  <c r="K357" i="1"/>
  <c r="I357" i="1"/>
  <c r="J357" i="1" s="1"/>
  <c r="A357" i="1"/>
  <c r="N356" i="1"/>
  <c r="K356" i="1"/>
  <c r="I356" i="1"/>
  <c r="J356" i="1" s="1"/>
  <c r="A356" i="1"/>
  <c r="N355" i="1"/>
  <c r="K355" i="1"/>
  <c r="I355" i="1"/>
  <c r="J355" i="1" s="1"/>
  <c r="A355" i="1"/>
  <c r="N354" i="1"/>
  <c r="K354" i="1"/>
  <c r="I354" i="1"/>
  <c r="J354" i="1" s="1"/>
  <c r="A354" i="1"/>
  <c r="N353" i="1"/>
  <c r="K353" i="1"/>
  <c r="I353" i="1"/>
  <c r="J353" i="1" s="1"/>
  <c r="A353" i="1"/>
  <c r="N352" i="1"/>
  <c r="K352" i="1"/>
  <c r="I352" i="1"/>
  <c r="J352" i="1" s="1"/>
  <c r="A352" i="1"/>
  <c r="N349" i="1"/>
  <c r="K349" i="1"/>
  <c r="I349" i="1"/>
  <c r="J349" i="1" s="1"/>
  <c r="A349" i="1"/>
  <c r="N348" i="1"/>
  <c r="K348" i="1"/>
  <c r="I348" i="1"/>
  <c r="J348" i="1" s="1"/>
  <c r="A348" i="1"/>
  <c r="N347" i="1"/>
  <c r="K347" i="1"/>
  <c r="I347" i="1"/>
  <c r="J347" i="1" s="1"/>
  <c r="A347" i="1"/>
  <c r="N438" i="1"/>
  <c r="K438" i="1"/>
  <c r="I438" i="1"/>
  <c r="J438" i="1" s="1"/>
  <c r="A438" i="1"/>
  <c r="N437" i="1"/>
  <c r="K437" i="1"/>
  <c r="I437" i="1"/>
  <c r="J437" i="1" s="1"/>
  <c r="A437" i="1"/>
  <c r="N436" i="1"/>
  <c r="K436" i="1"/>
  <c r="I436" i="1"/>
  <c r="J436" i="1" s="1"/>
  <c r="A436" i="1"/>
  <c r="N435" i="1"/>
  <c r="K435" i="1"/>
  <c r="I435" i="1"/>
  <c r="J435" i="1" s="1"/>
  <c r="A435" i="1"/>
  <c r="N434" i="1"/>
  <c r="K434" i="1"/>
  <c r="I434" i="1"/>
  <c r="J434" i="1" s="1"/>
  <c r="A434" i="1"/>
  <c r="N433" i="1"/>
  <c r="K433" i="1"/>
  <c r="I433" i="1"/>
  <c r="J433" i="1" s="1"/>
  <c r="A433" i="1"/>
  <c r="N432" i="1"/>
  <c r="K432" i="1"/>
  <c r="I432" i="1"/>
  <c r="J432" i="1" s="1"/>
  <c r="A432" i="1"/>
  <c r="Q431" i="1"/>
  <c r="P431" i="1"/>
  <c r="O431" i="1"/>
  <c r="N431" i="1"/>
  <c r="M431" i="1"/>
  <c r="L431" i="1"/>
  <c r="K431" i="1"/>
  <c r="J431" i="1"/>
  <c r="I431" i="1"/>
  <c r="A431" i="1"/>
  <c r="Q430" i="1"/>
  <c r="P430" i="1"/>
  <c r="O430" i="1"/>
  <c r="N430" i="1"/>
  <c r="M430" i="1"/>
  <c r="L430" i="1"/>
  <c r="K430" i="1"/>
  <c r="J430" i="1"/>
  <c r="I430" i="1"/>
  <c r="A430" i="1"/>
  <c r="N429" i="1"/>
  <c r="K429" i="1"/>
  <c r="I429" i="1"/>
  <c r="J429" i="1" s="1"/>
  <c r="A429" i="1"/>
  <c r="Q428" i="1"/>
  <c r="P428" i="1"/>
  <c r="O428" i="1"/>
  <c r="N428" i="1"/>
  <c r="M428" i="1"/>
  <c r="L428" i="1"/>
  <c r="K428" i="1"/>
  <c r="J428" i="1"/>
  <c r="I428" i="1"/>
  <c r="A428" i="1"/>
  <c r="Q427" i="1"/>
  <c r="P427" i="1"/>
  <c r="O427" i="1"/>
  <c r="N427" i="1"/>
  <c r="M427" i="1"/>
  <c r="L427" i="1"/>
  <c r="K427" i="1"/>
  <c r="J427" i="1"/>
  <c r="I427" i="1"/>
  <c r="A427" i="1"/>
  <c r="N426" i="1"/>
  <c r="K426" i="1"/>
  <c r="I426" i="1"/>
  <c r="J426" i="1" s="1"/>
  <c r="A426" i="1"/>
  <c r="N425" i="1"/>
  <c r="K425" i="1"/>
  <c r="I425" i="1"/>
  <c r="J425" i="1" s="1"/>
  <c r="A425" i="1"/>
  <c r="N424" i="1"/>
  <c r="K424" i="1"/>
  <c r="I424" i="1"/>
  <c r="J424" i="1" s="1"/>
  <c r="A424" i="1"/>
  <c r="N423" i="1"/>
  <c r="K423" i="1"/>
  <c r="I423" i="1"/>
  <c r="J423" i="1" s="1"/>
  <c r="A423" i="1"/>
  <c r="N422" i="1"/>
  <c r="K422" i="1"/>
  <c r="I422" i="1"/>
  <c r="J422" i="1" s="1"/>
  <c r="A422" i="1"/>
  <c r="Q421" i="1"/>
  <c r="P421" i="1"/>
  <c r="O421" i="1"/>
  <c r="N421" i="1"/>
  <c r="M421" i="1"/>
  <c r="L421" i="1"/>
  <c r="K421" i="1"/>
  <c r="J421" i="1"/>
  <c r="I421" i="1"/>
  <c r="A421" i="1"/>
  <c r="Q420" i="1"/>
  <c r="P420" i="1"/>
  <c r="O420" i="1"/>
  <c r="N420" i="1"/>
  <c r="M420" i="1"/>
  <c r="L420" i="1"/>
  <c r="K420" i="1"/>
  <c r="J420" i="1"/>
  <c r="I420" i="1"/>
  <c r="A420" i="1"/>
  <c r="F419" i="1"/>
  <c r="A419" i="1"/>
  <c r="Q418" i="1"/>
  <c r="P418" i="1"/>
  <c r="O418" i="1"/>
  <c r="N418" i="1"/>
  <c r="M418" i="1"/>
  <c r="L418" i="1"/>
  <c r="K418" i="1"/>
  <c r="J418" i="1"/>
  <c r="I418" i="1"/>
  <c r="A418" i="1"/>
  <c r="Q417" i="1"/>
  <c r="P417" i="1"/>
  <c r="O417" i="1"/>
  <c r="N417" i="1"/>
  <c r="M417" i="1"/>
  <c r="L417" i="1"/>
  <c r="K417" i="1"/>
  <c r="J417" i="1"/>
  <c r="I417" i="1"/>
  <c r="A417" i="1"/>
  <c r="N416" i="1"/>
  <c r="K416" i="1"/>
  <c r="I416" i="1"/>
  <c r="J416" i="1" s="1"/>
  <c r="A416" i="1"/>
  <c r="F415" i="1"/>
  <c r="N415" i="1" s="1"/>
  <c r="A415" i="1"/>
  <c r="Q413" i="1"/>
  <c r="P413" i="1"/>
  <c r="O413" i="1"/>
  <c r="N413" i="1"/>
  <c r="M413" i="1"/>
  <c r="L413" i="1"/>
  <c r="K413" i="1"/>
  <c r="J413" i="1"/>
  <c r="I413" i="1"/>
  <c r="A413" i="1"/>
  <c r="Q412" i="1"/>
  <c r="P412" i="1"/>
  <c r="O412" i="1"/>
  <c r="N412" i="1"/>
  <c r="M412" i="1"/>
  <c r="L412" i="1"/>
  <c r="K412" i="1"/>
  <c r="J412" i="1"/>
  <c r="I412" i="1"/>
  <c r="A412" i="1"/>
  <c r="N411" i="1"/>
  <c r="K411" i="1"/>
  <c r="J411" i="1"/>
  <c r="A411" i="1"/>
  <c r="Q410" i="1"/>
  <c r="P410" i="1"/>
  <c r="O410" i="1"/>
  <c r="N410" i="1"/>
  <c r="M410" i="1"/>
  <c r="L410" i="1"/>
  <c r="K410" i="1"/>
  <c r="J410" i="1"/>
  <c r="I410" i="1"/>
  <c r="A410" i="1"/>
  <c r="Q409" i="1"/>
  <c r="P409" i="1"/>
  <c r="O409" i="1"/>
  <c r="N409" i="1"/>
  <c r="M409" i="1"/>
  <c r="L409" i="1"/>
  <c r="K409" i="1"/>
  <c r="J409" i="1"/>
  <c r="I409" i="1"/>
  <c r="A409" i="1"/>
  <c r="N407" i="1"/>
  <c r="K407" i="1"/>
  <c r="J407" i="1"/>
  <c r="A407" i="1"/>
  <c r="N406" i="1"/>
  <c r="K406" i="1"/>
  <c r="J406" i="1"/>
  <c r="A406" i="1"/>
  <c r="Q405" i="1"/>
  <c r="P405" i="1"/>
  <c r="O405" i="1"/>
  <c r="N405" i="1"/>
  <c r="M405" i="1"/>
  <c r="L405" i="1"/>
  <c r="K405" i="1"/>
  <c r="J405" i="1"/>
  <c r="I405" i="1"/>
  <c r="A405" i="1"/>
  <c r="N403" i="1"/>
  <c r="K403" i="1"/>
  <c r="J403" i="1"/>
  <c r="A403" i="1"/>
  <c r="N402" i="1"/>
  <c r="K402" i="1"/>
  <c r="J402" i="1"/>
  <c r="A402" i="1"/>
  <c r="N401" i="1"/>
  <c r="K401" i="1"/>
  <c r="J401" i="1"/>
  <c r="A401" i="1"/>
  <c r="N400" i="1"/>
  <c r="K400" i="1"/>
  <c r="J400" i="1"/>
  <c r="A400" i="1"/>
  <c r="N399" i="1"/>
  <c r="K399" i="1"/>
  <c r="J399" i="1"/>
  <c r="A399" i="1"/>
  <c r="N398" i="1"/>
  <c r="K398" i="1"/>
  <c r="J398" i="1"/>
  <c r="A398" i="1"/>
  <c r="N397" i="1"/>
  <c r="K397" i="1"/>
  <c r="J397" i="1"/>
  <c r="A397" i="1"/>
  <c r="N396" i="1"/>
  <c r="K396" i="1"/>
  <c r="J396" i="1"/>
  <c r="A396" i="1"/>
  <c r="N395" i="1"/>
  <c r="K395" i="1"/>
  <c r="J395" i="1"/>
  <c r="A395" i="1"/>
  <c r="N394" i="1"/>
  <c r="K394" i="1"/>
  <c r="J394" i="1"/>
  <c r="A394" i="1"/>
  <c r="N393" i="1"/>
  <c r="K393" i="1"/>
  <c r="J393" i="1"/>
  <c r="A393" i="1"/>
  <c r="N392" i="1"/>
  <c r="K392" i="1"/>
  <c r="J392" i="1"/>
  <c r="A392" i="1"/>
  <c r="N391" i="1"/>
  <c r="K391" i="1"/>
  <c r="J391" i="1"/>
  <c r="A391" i="1"/>
  <c r="N390" i="1"/>
  <c r="K390" i="1"/>
  <c r="J390" i="1"/>
  <c r="A390" i="1"/>
  <c r="N389" i="1"/>
  <c r="K389" i="1"/>
  <c r="J389" i="1"/>
  <c r="A389" i="1"/>
  <c r="N388" i="1"/>
  <c r="K388" i="1"/>
  <c r="J388" i="1"/>
  <c r="A388" i="1"/>
  <c r="N387" i="1"/>
  <c r="K387" i="1"/>
  <c r="J387" i="1"/>
  <c r="A387" i="1"/>
  <c r="N386" i="1"/>
  <c r="K386" i="1"/>
  <c r="J386" i="1"/>
  <c r="A386" i="1"/>
  <c r="Q385" i="1"/>
  <c r="P385" i="1"/>
  <c r="O385" i="1"/>
  <c r="N385" i="1"/>
  <c r="M385" i="1"/>
  <c r="L385" i="1"/>
  <c r="K385" i="1"/>
  <c r="J385" i="1"/>
  <c r="I385" i="1"/>
  <c r="A385" i="1"/>
  <c r="Q384" i="1"/>
  <c r="P384" i="1"/>
  <c r="O384" i="1"/>
  <c r="N384" i="1"/>
  <c r="M384" i="1"/>
  <c r="L384" i="1"/>
  <c r="K384" i="1"/>
  <c r="J384" i="1"/>
  <c r="I384" i="1"/>
  <c r="A384" i="1"/>
  <c r="N382" i="1"/>
  <c r="K382" i="1"/>
  <c r="J382" i="1"/>
  <c r="A382" i="1"/>
  <c r="N381" i="1"/>
  <c r="K381" i="1"/>
  <c r="J381" i="1"/>
  <c r="A381" i="1"/>
  <c r="N380" i="1"/>
  <c r="K380" i="1"/>
  <c r="J380" i="1"/>
  <c r="A380" i="1"/>
  <c r="N379" i="1"/>
  <c r="K379" i="1"/>
  <c r="J379" i="1"/>
  <c r="A379" i="1"/>
  <c r="N378" i="1"/>
  <c r="K378" i="1"/>
  <c r="J378" i="1"/>
  <c r="A378" i="1"/>
  <c r="N377" i="1"/>
  <c r="K377" i="1"/>
  <c r="J377" i="1"/>
  <c r="A377" i="1"/>
  <c r="N376" i="1"/>
  <c r="K376" i="1"/>
  <c r="J376" i="1"/>
  <c r="A376" i="1"/>
  <c r="N375" i="1"/>
  <c r="K375" i="1"/>
  <c r="J375" i="1"/>
  <c r="A375" i="1"/>
  <c r="N374" i="1"/>
  <c r="K374" i="1"/>
  <c r="J374" i="1"/>
  <c r="A374" i="1"/>
  <c r="N373" i="1"/>
  <c r="K373" i="1"/>
  <c r="J373" i="1"/>
  <c r="A373" i="1"/>
  <c r="Q372" i="1"/>
  <c r="P372" i="1"/>
  <c r="O372" i="1"/>
  <c r="N372" i="1"/>
  <c r="M372" i="1"/>
  <c r="L372" i="1"/>
  <c r="K372" i="1"/>
  <c r="J372" i="1"/>
  <c r="I372" i="1"/>
  <c r="A372" i="1"/>
  <c r="Q371" i="1"/>
  <c r="P371" i="1"/>
  <c r="O371" i="1"/>
  <c r="N371" i="1"/>
  <c r="M371" i="1"/>
  <c r="L371" i="1"/>
  <c r="K371" i="1"/>
  <c r="J371" i="1"/>
  <c r="I371" i="1"/>
  <c r="A371" i="1"/>
  <c r="N370" i="1"/>
  <c r="K370" i="1"/>
  <c r="J370" i="1"/>
  <c r="A370" i="1"/>
  <c r="N369" i="1"/>
  <c r="K369" i="1"/>
  <c r="J369" i="1"/>
  <c r="A369" i="1"/>
  <c r="Q368" i="1"/>
  <c r="P368" i="1"/>
  <c r="O368" i="1"/>
  <c r="N368" i="1"/>
  <c r="M368" i="1"/>
  <c r="L368" i="1"/>
  <c r="K368" i="1"/>
  <c r="J368" i="1"/>
  <c r="I368" i="1"/>
  <c r="A368" i="1"/>
  <c r="Q367" i="1"/>
  <c r="P367" i="1"/>
  <c r="O367" i="1"/>
  <c r="N367" i="1"/>
  <c r="M367" i="1"/>
  <c r="L367" i="1"/>
  <c r="K367" i="1"/>
  <c r="J367" i="1"/>
  <c r="I367" i="1"/>
  <c r="A367" i="1"/>
  <c r="N274" i="1"/>
  <c r="K274" i="1"/>
  <c r="I274" i="1"/>
  <c r="J274" i="1" s="1"/>
  <c r="A274" i="1"/>
  <c r="N273" i="1"/>
  <c r="K273" i="1"/>
  <c r="I273" i="1"/>
  <c r="J273" i="1" s="1"/>
  <c r="A273" i="1"/>
  <c r="N272" i="1"/>
  <c r="K272" i="1"/>
  <c r="I272" i="1"/>
  <c r="J272" i="1" s="1"/>
  <c r="A272" i="1"/>
  <c r="N271" i="1"/>
  <c r="K271" i="1"/>
  <c r="I271" i="1"/>
  <c r="J271" i="1" s="1"/>
  <c r="A271" i="1"/>
  <c r="A337" i="1"/>
  <c r="A338" i="1"/>
  <c r="A339" i="1"/>
  <c r="A340" i="1"/>
  <c r="A341" i="1"/>
  <c r="A342" i="1"/>
  <c r="A343" i="1"/>
  <c r="Q340" i="1"/>
  <c r="P340" i="1"/>
  <c r="O340" i="1"/>
  <c r="N340" i="1"/>
  <c r="M340" i="1"/>
  <c r="L340" i="1"/>
  <c r="K340" i="1"/>
  <c r="J340" i="1"/>
  <c r="I340" i="1"/>
  <c r="N339" i="1"/>
  <c r="K339" i="1"/>
  <c r="I339" i="1"/>
  <c r="J339" i="1" s="1"/>
  <c r="Q338" i="1"/>
  <c r="P338" i="1"/>
  <c r="O338" i="1"/>
  <c r="N338" i="1"/>
  <c r="M338" i="1"/>
  <c r="L338" i="1"/>
  <c r="K338" i="1"/>
  <c r="J338" i="1"/>
  <c r="I338" i="1"/>
  <c r="Q337" i="1"/>
  <c r="P337" i="1"/>
  <c r="O337" i="1"/>
  <c r="N337" i="1"/>
  <c r="M337" i="1"/>
  <c r="L337" i="1"/>
  <c r="K337" i="1"/>
  <c r="J337" i="1"/>
  <c r="I337" i="1"/>
  <c r="N336" i="1"/>
  <c r="K336" i="1"/>
  <c r="I336" i="1"/>
  <c r="J336" i="1" s="1"/>
  <c r="A336" i="1"/>
  <c r="N335" i="1"/>
  <c r="K335" i="1"/>
  <c r="I335" i="1"/>
  <c r="J335" i="1" s="1"/>
  <c r="A335" i="1"/>
  <c r="N334" i="1"/>
  <c r="K334" i="1"/>
  <c r="I334" i="1"/>
  <c r="J334" i="1" s="1"/>
  <c r="A334" i="1"/>
  <c r="N333" i="1"/>
  <c r="K333" i="1"/>
  <c r="I333" i="1"/>
  <c r="J333" i="1" s="1"/>
  <c r="A333" i="1"/>
  <c r="N332" i="1"/>
  <c r="K332" i="1"/>
  <c r="I332" i="1"/>
  <c r="J332" i="1" s="1"/>
  <c r="A332" i="1"/>
  <c r="Q331" i="1"/>
  <c r="P331" i="1"/>
  <c r="O331" i="1"/>
  <c r="N331" i="1"/>
  <c r="M331" i="1"/>
  <c r="L331" i="1"/>
  <c r="K331" i="1"/>
  <c r="J331" i="1"/>
  <c r="I331" i="1"/>
  <c r="A331" i="1"/>
  <c r="N329" i="1"/>
  <c r="K329" i="1"/>
  <c r="I329" i="1"/>
  <c r="J329" i="1" s="1"/>
  <c r="A329" i="1"/>
  <c r="N328" i="1"/>
  <c r="K328" i="1"/>
  <c r="I328" i="1"/>
  <c r="J328" i="1" s="1"/>
  <c r="A328" i="1"/>
  <c r="N327" i="1"/>
  <c r="K327" i="1"/>
  <c r="I327" i="1"/>
  <c r="J327" i="1" s="1"/>
  <c r="A327" i="1"/>
  <c r="Q326" i="1"/>
  <c r="P326" i="1"/>
  <c r="O326" i="1"/>
  <c r="N326" i="1"/>
  <c r="M326" i="1"/>
  <c r="L326" i="1"/>
  <c r="K326" i="1"/>
  <c r="J326" i="1"/>
  <c r="I326" i="1"/>
  <c r="A326" i="1"/>
  <c r="Q325" i="1"/>
  <c r="P325" i="1"/>
  <c r="O325" i="1"/>
  <c r="N325" i="1"/>
  <c r="M325" i="1"/>
  <c r="L325" i="1"/>
  <c r="K325" i="1"/>
  <c r="J325" i="1"/>
  <c r="I325" i="1"/>
  <c r="A325" i="1"/>
  <c r="N324" i="1"/>
  <c r="K324" i="1"/>
  <c r="I324" i="1"/>
  <c r="J324" i="1" s="1"/>
  <c r="A324" i="1"/>
  <c r="N323" i="1"/>
  <c r="K323" i="1"/>
  <c r="I323" i="1"/>
  <c r="J323" i="1" s="1"/>
  <c r="A323" i="1"/>
  <c r="N322" i="1"/>
  <c r="K322" i="1"/>
  <c r="I322" i="1"/>
  <c r="J322" i="1" s="1"/>
  <c r="A322" i="1"/>
  <c r="N321" i="1"/>
  <c r="K321" i="1"/>
  <c r="I321" i="1"/>
  <c r="J321" i="1" s="1"/>
  <c r="A321" i="1"/>
  <c r="Q320" i="1"/>
  <c r="P320" i="1"/>
  <c r="O320" i="1"/>
  <c r="N320" i="1"/>
  <c r="M320" i="1"/>
  <c r="L320" i="1"/>
  <c r="K320" i="1"/>
  <c r="J320" i="1"/>
  <c r="I320" i="1"/>
  <c r="A320" i="1"/>
  <c r="N318" i="1"/>
  <c r="K318" i="1"/>
  <c r="J318" i="1"/>
  <c r="A318" i="1"/>
  <c r="N317" i="1"/>
  <c r="K317" i="1"/>
  <c r="J317" i="1"/>
  <c r="A317" i="1"/>
  <c r="Q316" i="1"/>
  <c r="P316" i="1"/>
  <c r="O316" i="1"/>
  <c r="N316" i="1"/>
  <c r="M316" i="1"/>
  <c r="L316" i="1"/>
  <c r="K316" i="1"/>
  <c r="J316" i="1"/>
  <c r="I316" i="1"/>
  <c r="A316" i="1"/>
  <c r="Q315" i="1"/>
  <c r="P315" i="1"/>
  <c r="O315" i="1"/>
  <c r="N315" i="1"/>
  <c r="M315" i="1"/>
  <c r="L315" i="1"/>
  <c r="K315" i="1"/>
  <c r="J315" i="1"/>
  <c r="I315" i="1"/>
  <c r="A315" i="1"/>
  <c r="Q314" i="1"/>
  <c r="P314" i="1"/>
  <c r="O314" i="1"/>
  <c r="N314" i="1"/>
  <c r="M314" i="1"/>
  <c r="L314" i="1"/>
  <c r="K314" i="1"/>
  <c r="J314" i="1"/>
  <c r="I314" i="1"/>
  <c r="A314" i="1"/>
  <c r="N313" i="1"/>
  <c r="K313" i="1"/>
  <c r="J313" i="1"/>
  <c r="A313" i="1"/>
  <c r="N312" i="1"/>
  <c r="K312" i="1"/>
  <c r="J312" i="1"/>
  <c r="A312" i="1"/>
  <c r="Q311" i="1"/>
  <c r="P311" i="1"/>
  <c r="O311" i="1"/>
  <c r="N311" i="1"/>
  <c r="M311" i="1"/>
  <c r="L311" i="1"/>
  <c r="K311" i="1"/>
  <c r="J311" i="1"/>
  <c r="I311" i="1"/>
  <c r="A311" i="1"/>
  <c r="N309" i="1"/>
  <c r="K309" i="1"/>
  <c r="J309" i="1"/>
  <c r="A309" i="1"/>
  <c r="N308" i="1"/>
  <c r="K308" i="1"/>
  <c r="J308" i="1"/>
  <c r="A308" i="1"/>
  <c r="N307" i="1"/>
  <c r="K307" i="1"/>
  <c r="J307" i="1"/>
  <c r="A307" i="1"/>
  <c r="N306" i="1"/>
  <c r="K306" i="1"/>
  <c r="J306" i="1"/>
  <c r="A306" i="1"/>
  <c r="N305" i="1"/>
  <c r="K305" i="1"/>
  <c r="J305" i="1"/>
  <c r="A305" i="1"/>
  <c r="N304" i="1"/>
  <c r="K304" i="1"/>
  <c r="J304" i="1"/>
  <c r="A304" i="1"/>
  <c r="N303" i="1"/>
  <c r="K303" i="1"/>
  <c r="J303" i="1"/>
  <c r="A303" i="1"/>
  <c r="N302" i="1"/>
  <c r="K302" i="1"/>
  <c r="J302" i="1"/>
  <c r="A302" i="1"/>
  <c r="N301" i="1"/>
  <c r="K301" i="1"/>
  <c r="J301" i="1"/>
  <c r="A301" i="1"/>
  <c r="N300" i="1"/>
  <c r="K300" i="1"/>
  <c r="J300" i="1"/>
  <c r="A300" i="1"/>
  <c r="N299" i="1"/>
  <c r="K299" i="1"/>
  <c r="J299" i="1"/>
  <c r="A299" i="1"/>
  <c r="N298" i="1"/>
  <c r="K298" i="1"/>
  <c r="J298" i="1"/>
  <c r="A298" i="1"/>
  <c r="Q297" i="1"/>
  <c r="P297" i="1"/>
  <c r="O297" i="1"/>
  <c r="N297" i="1"/>
  <c r="M297" i="1"/>
  <c r="L297" i="1"/>
  <c r="K297" i="1"/>
  <c r="J297" i="1"/>
  <c r="I297" i="1"/>
  <c r="A297" i="1"/>
  <c r="Q296" i="1"/>
  <c r="P296" i="1"/>
  <c r="O296" i="1"/>
  <c r="N296" i="1"/>
  <c r="M296" i="1"/>
  <c r="L296" i="1"/>
  <c r="K296" i="1"/>
  <c r="J296" i="1"/>
  <c r="I296" i="1"/>
  <c r="A296" i="1"/>
  <c r="Q295" i="1"/>
  <c r="P295" i="1"/>
  <c r="O295" i="1"/>
  <c r="N295" i="1"/>
  <c r="M295" i="1"/>
  <c r="L295" i="1"/>
  <c r="K295" i="1"/>
  <c r="J295" i="1"/>
  <c r="I295" i="1"/>
  <c r="A295" i="1"/>
  <c r="N294" i="1"/>
  <c r="K294" i="1"/>
  <c r="J294" i="1"/>
  <c r="A294" i="1"/>
  <c r="N293" i="1"/>
  <c r="K293" i="1"/>
  <c r="J293" i="1"/>
  <c r="A293" i="1"/>
  <c r="N292" i="1"/>
  <c r="K292" i="1"/>
  <c r="J292" i="1"/>
  <c r="A292" i="1"/>
  <c r="N291" i="1"/>
  <c r="K291" i="1"/>
  <c r="J291" i="1"/>
  <c r="A291" i="1"/>
  <c r="N290" i="1"/>
  <c r="K290" i="1"/>
  <c r="J290" i="1"/>
  <c r="A290" i="1"/>
  <c r="N289" i="1"/>
  <c r="K289" i="1"/>
  <c r="J289" i="1"/>
  <c r="A289" i="1"/>
  <c r="Q288" i="1"/>
  <c r="P288" i="1"/>
  <c r="O288" i="1"/>
  <c r="N288" i="1"/>
  <c r="M288" i="1"/>
  <c r="L288" i="1"/>
  <c r="K288" i="1"/>
  <c r="J288" i="1"/>
  <c r="I288" i="1"/>
  <c r="A288" i="1"/>
  <c r="N286" i="1"/>
  <c r="K286" i="1"/>
  <c r="J286" i="1"/>
  <c r="A286" i="1"/>
  <c r="Q285" i="1"/>
  <c r="P285" i="1"/>
  <c r="O285" i="1"/>
  <c r="N285" i="1"/>
  <c r="M285" i="1"/>
  <c r="L285" i="1"/>
  <c r="K285" i="1"/>
  <c r="J285" i="1"/>
  <c r="I285" i="1"/>
  <c r="A285" i="1"/>
  <c r="Q283" i="1"/>
  <c r="P283" i="1"/>
  <c r="O283" i="1"/>
  <c r="N283" i="1"/>
  <c r="M283" i="1"/>
  <c r="L283" i="1"/>
  <c r="K283" i="1"/>
  <c r="J283" i="1"/>
  <c r="I283" i="1"/>
  <c r="A283" i="1"/>
  <c r="N282" i="1"/>
  <c r="K282" i="1"/>
  <c r="J282" i="1"/>
  <c r="A282" i="1"/>
  <c r="N281" i="1"/>
  <c r="K281" i="1"/>
  <c r="J281" i="1"/>
  <c r="A281" i="1"/>
  <c r="N280" i="1"/>
  <c r="K280" i="1"/>
  <c r="J280" i="1"/>
  <c r="A280" i="1"/>
  <c r="N279" i="1"/>
  <c r="K279" i="1"/>
  <c r="J279" i="1"/>
  <c r="A279" i="1"/>
  <c r="N278" i="1"/>
  <c r="K278" i="1"/>
  <c r="J278" i="1"/>
  <c r="A278" i="1"/>
  <c r="N277" i="1"/>
  <c r="K277" i="1"/>
  <c r="J277" i="1"/>
  <c r="A277" i="1"/>
  <c r="Q276" i="1"/>
  <c r="P276" i="1"/>
  <c r="O276" i="1"/>
  <c r="N276" i="1"/>
  <c r="M276" i="1"/>
  <c r="L276" i="1"/>
  <c r="K276" i="1"/>
  <c r="J276" i="1"/>
  <c r="I276" i="1"/>
  <c r="A276" i="1"/>
  <c r="Q275" i="1"/>
  <c r="P275" i="1"/>
  <c r="O275" i="1"/>
  <c r="N275" i="1"/>
  <c r="M275" i="1"/>
  <c r="L275" i="1"/>
  <c r="K275" i="1"/>
  <c r="J275" i="1"/>
  <c r="I275" i="1"/>
  <c r="A275" i="1"/>
  <c r="L448" i="1" l="1"/>
  <c r="O443" i="1"/>
  <c r="O547" i="1"/>
  <c r="L446" i="1"/>
  <c r="O467" i="1"/>
  <c r="O468" i="1"/>
  <c r="O470" i="1"/>
  <c r="O471" i="1"/>
  <c r="O472" i="1"/>
  <c r="O474" i="1"/>
  <c r="O475" i="1"/>
  <c r="L562" i="1"/>
  <c r="L466" i="1"/>
  <c r="L467" i="1"/>
  <c r="L452" i="1"/>
  <c r="L487" i="1"/>
  <c r="L488" i="1"/>
  <c r="L508" i="1"/>
  <c r="L521" i="1"/>
  <c r="O522" i="1"/>
  <c r="L523" i="1"/>
  <c r="L527" i="1"/>
  <c r="L456" i="1"/>
  <c r="L460" i="1"/>
  <c r="L469" i="1"/>
  <c r="O476" i="1"/>
  <c r="O479" i="1"/>
  <c r="O487" i="1"/>
  <c r="O508" i="1"/>
  <c r="L514" i="1"/>
  <c r="L516" i="1"/>
  <c r="L444" i="1"/>
  <c r="L473" i="1"/>
  <c r="O478" i="1"/>
  <c r="O457" i="1"/>
  <c r="L560" i="1"/>
  <c r="L480" i="1"/>
  <c r="L530" i="1"/>
  <c r="O448" i="1"/>
  <c r="O449" i="1"/>
  <c r="O455" i="1"/>
  <c r="O458" i="1"/>
  <c r="O447" i="1"/>
  <c r="O463" i="1"/>
  <c r="L556" i="1"/>
  <c r="O452" i="1"/>
  <c r="O453" i="1"/>
  <c r="O459" i="1"/>
  <c r="L468" i="1"/>
  <c r="L472" i="1"/>
  <c r="L476" i="1"/>
  <c r="L499" i="1"/>
  <c r="O502" i="1"/>
  <c r="L507" i="1"/>
  <c r="O545" i="1"/>
  <c r="L546" i="1"/>
  <c r="O575" i="1"/>
  <c r="O445" i="1"/>
  <c r="O451" i="1"/>
  <c r="O454" i="1"/>
  <c r="O460" i="1"/>
  <c r="O461" i="1"/>
  <c r="O469" i="1"/>
  <c r="L470" i="1"/>
  <c r="L471" i="1"/>
  <c r="O473" i="1"/>
  <c r="L474" i="1"/>
  <c r="L475" i="1"/>
  <c r="O477" i="1"/>
  <c r="L478" i="1"/>
  <c r="L479" i="1"/>
  <c r="L457" i="1"/>
  <c r="L461" i="1"/>
  <c r="O466" i="1"/>
  <c r="L483" i="1"/>
  <c r="L445" i="1"/>
  <c r="O446" i="1"/>
  <c r="L449" i="1"/>
  <c r="L453" i="1"/>
  <c r="L494" i="1"/>
  <c r="L497" i="1"/>
  <c r="L531" i="1"/>
  <c r="L533" i="1"/>
  <c r="L534" i="1"/>
  <c r="L541" i="1"/>
  <c r="L574" i="1"/>
  <c r="L443" i="1"/>
  <c r="O444" i="1"/>
  <c r="L447" i="1"/>
  <c r="L450" i="1"/>
  <c r="L451" i="1"/>
  <c r="L454" i="1"/>
  <c r="L455" i="1"/>
  <c r="L458" i="1"/>
  <c r="L459" i="1"/>
  <c r="L462" i="1"/>
  <c r="L463" i="1"/>
  <c r="O483" i="1"/>
  <c r="L397" i="1"/>
  <c r="L400" i="1"/>
  <c r="O488" i="1"/>
  <c r="O489" i="1"/>
  <c r="O494" i="1"/>
  <c r="L503" i="1"/>
  <c r="O509" i="1"/>
  <c r="L513" i="1"/>
  <c r="L524" i="1"/>
  <c r="O538" i="1"/>
  <c r="L543" i="1"/>
  <c r="L564" i="1"/>
  <c r="O573" i="1"/>
  <c r="O374" i="1"/>
  <c r="O393" i="1"/>
  <c r="O503" i="1"/>
  <c r="O524" i="1"/>
  <c r="L526" i="1"/>
  <c r="O543" i="1"/>
  <c r="O541" i="1"/>
  <c r="O559" i="1"/>
  <c r="L520" i="1"/>
  <c r="L555" i="1"/>
  <c r="O565" i="1"/>
  <c r="L353" i="1"/>
  <c r="L355" i="1"/>
  <c r="L357" i="1"/>
  <c r="L364" i="1"/>
  <c r="L502" i="1"/>
  <c r="O506" i="1"/>
  <c r="O513" i="1"/>
  <c r="L515" i="1"/>
  <c r="O520" i="1"/>
  <c r="L522" i="1"/>
  <c r="L529" i="1"/>
  <c r="L532" i="1"/>
  <c r="L542" i="1"/>
  <c r="O551" i="1"/>
  <c r="O555" i="1"/>
  <c r="O561" i="1"/>
  <c r="L570" i="1"/>
  <c r="O528" i="1"/>
  <c r="O569" i="1"/>
  <c r="L509" i="1"/>
  <c r="O534" i="1"/>
  <c r="L545" i="1"/>
  <c r="L377" i="1"/>
  <c r="L396" i="1"/>
  <c r="O347" i="1"/>
  <c r="O349" i="1"/>
  <c r="L493" i="1"/>
  <c r="O497" i="1"/>
  <c r="O498" i="1"/>
  <c r="O499" i="1"/>
  <c r="O515" i="1"/>
  <c r="L519" i="1"/>
  <c r="L525" i="1"/>
  <c r="O526" i="1"/>
  <c r="L528" i="1"/>
  <c r="O530" i="1"/>
  <c r="O532" i="1"/>
  <c r="L538" i="1"/>
  <c r="L544" i="1"/>
  <c r="O556" i="1"/>
  <c r="O563" i="1"/>
  <c r="O531" i="1"/>
  <c r="O546" i="1"/>
  <c r="O493" i="1"/>
  <c r="L506" i="1"/>
  <c r="O525" i="1"/>
  <c r="O533" i="1"/>
  <c r="O548" i="1"/>
  <c r="L561" i="1"/>
  <c r="O562" i="1"/>
  <c r="L565" i="1"/>
  <c r="L569" i="1"/>
  <c r="O570" i="1"/>
  <c r="L575" i="1"/>
  <c r="O394" i="1"/>
  <c r="O357" i="1"/>
  <c r="O361" i="1"/>
  <c r="L498" i="1"/>
  <c r="O514" i="1"/>
  <c r="O519" i="1"/>
  <c r="O527" i="1"/>
  <c r="O542" i="1"/>
  <c r="L547" i="1"/>
  <c r="O523" i="1"/>
  <c r="L389" i="1"/>
  <c r="O396" i="1"/>
  <c r="O398" i="1"/>
  <c r="L433" i="1"/>
  <c r="L435" i="1"/>
  <c r="L347" i="1"/>
  <c r="L489" i="1"/>
  <c r="O507" i="1"/>
  <c r="O516" i="1"/>
  <c r="O521" i="1"/>
  <c r="O529" i="1"/>
  <c r="O544" i="1"/>
  <c r="L548" i="1"/>
  <c r="L551" i="1"/>
  <c r="L559" i="1"/>
  <c r="O560" i="1"/>
  <c r="L563" i="1"/>
  <c r="O564" i="1"/>
  <c r="L573" i="1"/>
  <c r="O574" i="1"/>
  <c r="L358" i="1"/>
  <c r="O358" i="1"/>
  <c r="L362" i="1"/>
  <c r="L381" i="1"/>
  <c r="L411" i="1"/>
  <c r="L423" i="1"/>
  <c r="L425" i="1"/>
  <c r="O352" i="1"/>
  <c r="L354" i="1"/>
  <c r="O362" i="1"/>
  <c r="L365" i="1"/>
  <c r="L348" i="1"/>
  <c r="O356" i="1"/>
  <c r="O348" i="1"/>
  <c r="L352" i="1"/>
  <c r="O375" i="1"/>
  <c r="L378" i="1"/>
  <c r="O377" i="1"/>
  <c r="O379" i="1"/>
  <c r="O406" i="1"/>
  <c r="O407" i="1"/>
  <c r="O411" i="1"/>
  <c r="O416" i="1"/>
  <c r="O425" i="1"/>
  <c r="O429" i="1"/>
  <c r="L349" i="1"/>
  <c r="O354" i="1"/>
  <c r="L356" i="1"/>
  <c r="L361" i="1"/>
  <c r="O365" i="1"/>
  <c r="O353" i="1"/>
  <c r="O364" i="1"/>
  <c r="O355" i="1"/>
  <c r="L422" i="1"/>
  <c r="L380" i="1"/>
  <c r="O422" i="1"/>
  <c r="O271" i="1"/>
  <c r="L373" i="1"/>
  <c r="O380" i="1"/>
  <c r="L382" i="1"/>
  <c r="L388" i="1"/>
  <c r="L392" i="1"/>
  <c r="O399" i="1"/>
  <c r="L401" i="1"/>
  <c r="K415" i="1"/>
  <c r="O435" i="1"/>
  <c r="L437" i="1"/>
  <c r="I415" i="1"/>
  <c r="J415" i="1" s="1"/>
  <c r="O415" i="1" s="1"/>
  <c r="O369" i="1"/>
  <c r="L375" i="1"/>
  <c r="O378" i="1"/>
  <c r="O381" i="1"/>
  <c r="O382" i="1"/>
  <c r="O389" i="1"/>
  <c r="O390" i="1"/>
  <c r="L394" i="1"/>
  <c r="O397" i="1"/>
  <c r="O400" i="1"/>
  <c r="O401" i="1"/>
  <c r="O436" i="1"/>
  <c r="L370" i="1"/>
  <c r="L386" i="1"/>
  <c r="L391" i="1"/>
  <c r="L402" i="1"/>
  <c r="L416" i="1"/>
  <c r="L279" i="1"/>
  <c r="L307" i="1"/>
  <c r="O370" i="1"/>
  <c r="L374" i="1"/>
  <c r="O386" i="1"/>
  <c r="O391" i="1"/>
  <c r="L393" i="1"/>
  <c r="O402" i="1"/>
  <c r="O423" i="1"/>
  <c r="L434" i="1"/>
  <c r="O437" i="1"/>
  <c r="O277" i="1"/>
  <c r="O278" i="1"/>
  <c r="O303" i="1"/>
  <c r="O304" i="1"/>
  <c r="O308" i="1"/>
  <c r="O309" i="1"/>
  <c r="O317" i="1"/>
  <c r="L273" i="1"/>
  <c r="O373" i="1"/>
  <c r="O388" i="1"/>
  <c r="O392" i="1"/>
  <c r="O424" i="1"/>
  <c r="L429" i="1"/>
  <c r="O434" i="1"/>
  <c r="L395" i="1"/>
  <c r="L369" i="1"/>
  <c r="L379" i="1"/>
  <c r="L390" i="1"/>
  <c r="L398" i="1"/>
  <c r="L407" i="1"/>
  <c r="K419" i="1"/>
  <c r="N419" i="1"/>
  <c r="I419" i="1"/>
  <c r="J419" i="1" s="1"/>
  <c r="L426" i="1"/>
  <c r="O432" i="1"/>
  <c r="L438" i="1"/>
  <c r="L376" i="1"/>
  <c r="L387" i="1"/>
  <c r="L403" i="1"/>
  <c r="L406" i="1"/>
  <c r="L432" i="1"/>
  <c r="O376" i="1"/>
  <c r="O387" i="1"/>
  <c r="O395" i="1"/>
  <c r="L399" i="1"/>
  <c r="O403" i="1"/>
  <c r="L424" i="1"/>
  <c r="O426" i="1"/>
  <c r="O433" i="1"/>
  <c r="L436" i="1"/>
  <c r="O438" i="1"/>
  <c r="L317" i="1"/>
  <c r="O294" i="1"/>
  <c r="O300" i="1"/>
  <c r="L303" i="1"/>
  <c r="O272" i="1"/>
  <c r="L274" i="1"/>
  <c r="L290" i="1"/>
  <c r="L272" i="1"/>
  <c r="L271" i="1"/>
  <c r="O274" i="1"/>
  <c r="O273" i="1"/>
  <c r="L333" i="1"/>
  <c r="O279" i="1"/>
  <c r="O280" i="1"/>
  <c r="O291" i="1"/>
  <c r="L294" i="1"/>
  <c r="L322" i="1"/>
  <c r="L324" i="1"/>
  <c r="O335" i="1"/>
  <c r="L280" i="1"/>
  <c r="L286" i="1"/>
  <c r="L299" i="1"/>
  <c r="L335" i="1"/>
  <c r="O302" i="1"/>
  <c r="L304" i="1"/>
  <c r="O312" i="1"/>
  <c r="O322" i="1"/>
  <c r="O324" i="1"/>
  <c r="O328" i="1"/>
  <c r="L321" i="1"/>
  <c r="L281" i="1"/>
  <c r="L291" i="1"/>
  <c r="L298" i="1"/>
  <c r="L306" i="1"/>
  <c r="L312" i="1"/>
  <c r="O321" i="1"/>
  <c r="O332" i="1"/>
  <c r="O339" i="1"/>
  <c r="L332" i="1"/>
  <c r="O281" i="1"/>
  <c r="O290" i="1"/>
  <c r="L293" i="1"/>
  <c r="O298" i="1"/>
  <c r="L300" i="1"/>
  <c r="O306" i="1"/>
  <c r="L308" i="1"/>
  <c r="O286" i="1"/>
  <c r="O293" i="1"/>
  <c r="O299" i="1"/>
  <c r="L302" i="1"/>
  <c r="O307" i="1"/>
  <c r="O323" i="1"/>
  <c r="L328" i="1"/>
  <c r="O334" i="1"/>
  <c r="L339" i="1"/>
  <c r="L289" i="1"/>
  <c r="L329" i="1"/>
  <c r="L277" i="1"/>
  <c r="L292" i="1"/>
  <c r="O301" i="1"/>
  <c r="L305" i="1"/>
  <c r="L313" i="1"/>
  <c r="O318" i="1"/>
  <c r="L327" i="1"/>
  <c r="O329" i="1"/>
  <c r="O333" i="1"/>
  <c r="L336" i="1"/>
  <c r="L282" i="1"/>
  <c r="L301" i="1"/>
  <c r="L318" i="1"/>
  <c r="L278" i="1"/>
  <c r="O282" i="1"/>
  <c r="O289" i="1"/>
  <c r="O292" i="1"/>
  <c r="O305" i="1"/>
  <c r="L309" i="1"/>
  <c r="O313" i="1"/>
  <c r="L323" i="1"/>
  <c r="O327" i="1"/>
  <c r="L334" i="1"/>
  <c r="O336" i="1"/>
  <c r="L415" i="1" l="1"/>
  <c r="O419" i="1"/>
  <c r="L419" i="1"/>
  <c r="G147" i="1" l="1"/>
  <c r="G146" i="1"/>
  <c r="F186" i="1"/>
  <c r="F185" i="1"/>
  <c r="F184" i="1"/>
  <c r="N104" i="1"/>
  <c r="K104" i="1"/>
  <c r="I104" i="1"/>
  <c r="J104" i="1" s="1"/>
  <c r="A104" i="1"/>
  <c r="A71" i="1"/>
  <c r="A72" i="1"/>
  <c r="A73" i="1"/>
  <c r="A74" i="1"/>
  <c r="A75" i="1"/>
  <c r="A76" i="1"/>
  <c r="N139" i="1"/>
  <c r="K139" i="1"/>
  <c r="I139" i="1"/>
  <c r="J139" i="1" s="1"/>
  <c r="A139" i="1"/>
  <c r="N138" i="1"/>
  <c r="K138" i="1"/>
  <c r="I138" i="1"/>
  <c r="J138" i="1" s="1"/>
  <c r="A138" i="1"/>
  <c r="N137" i="1"/>
  <c r="K137" i="1"/>
  <c r="I137" i="1"/>
  <c r="J137" i="1" s="1"/>
  <c r="A137" i="1"/>
  <c r="N136" i="1"/>
  <c r="K136" i="1"/>
  <c r="I136" i="1"/>
  <c r="J136" i="1" s="1"/>
  <c r="A136" i="1"/>
  <c r="G143" i="1"/>
  <c r="G142" i="1"/>
  <c r="G141" i="1"/>
  <c r="N124" i="1"/>
  <c r="K124" i="1"/>
  <c r="I124" i="1"/>
  <c r="J124" i="1" s="1"/>
  <c r="A124" i="1"/>
  <c r="G92" i="1"/>
  <c r="G90" i="1"/>
  <c r="N241" i="1"/>
  <c r="K241" i="1"/>
  <c r="I241" i="1"/>
  <c r="J241" i="1" s="1"/>
  <c r="A241" i="1"/>
  <c r="N240" i="1"/>
  <c r="K240" i="1"/>
  <c r="I240" i="1"/>
  <c r="J240" i="1" s="1"/>
  <c r="A240" i="1"/>
  <c r="N243" i="1"/>
  <c r="K243" i="1"/>
  <c r="I243" i="1"/>
  <c r="J243" i="1" s="1"/>
  <c r="A243" i="1"/>
  <c r="N242" i="1"/>
  <c r="K242" i="1"/>
  <c r="I242" i="1"/>
  <c r="J242" i="1" s="1"/>
  <c r="A242" i="1"/>
  <c r="G228" i="1"/>
  <c r="G225" i="1"/>
  <c r="G224" i="1"/>
  <c r="G222" i="1"/>
  <c r="N223" i="1"/>
  <c r="K223" i="1"/>
  <c r="I223" i="1"/>
  <c r="J223" i="1" s="1"/>
  <c r="A223" i="1"/>
  <c r="N222" i="1"/>
  <c r="K222" i="1"/>
  <c r="I222" i="1"/>
  <c r="J222" i="1" s="1"/>
  <c r="A222" i="1"/>
  <c r="N225" i="1"/>
  <c r="K225" i="1"/>
  <c r="I225" i="1"/>
  <c r="J225" i="1" s="1"/>
  <c r="A225" i="1"/>
  <c r="N224" i="1"/>
  <c r="K224" i="1"/>
  <c r="I224" i="1"/>
  <c r="J224" i="1" s="1"/>
  <c r="A224" i="1"/>
  <c r="N227" i="1"/>
  <c r="K227" i="1"/>
  <c r="I227" i="1"/>
  <c r="J227" i="1" s="1"/>
  <c r="A227" i="1"/>
  <c r="N226" i="1"/>
  <c r="K226" i="1"/>
  <c r="I226" i="1"/>
  <c r="J226" i="1" s="1"/>
  <c r="A226" i="1"/>
  <c r="G208" i="1"/>
  <c r="N208" i="1"/>
  <c r="K208" i="1"/>
  <c r="I208" i="1"/>
  <c r="J208" i="1" s="1"/>
  <c r="A208" i="1"/>
  <c r="A197" i="1"/>
  <c r="A198" i="1"/>
  <c r="A199" i="1"/>
  <c r="A200" i="1"/>
  <c r="A201" i="1"/>
  <c r="A202" i="1"/>
  <c r="A203" i="1"/>
  <c r="A204" i="1"/>
  <c r="A205" i="1"/>
  <c r="A206" i="1"/>
  <c r="A194" i="1"/>
  <c r="A195" i="1"/>
  <c r="A196" i="1"/>
  <c r="G192" i="1"/>
  <c r="N206" i="1"/>
  <c r="K206" i="1"/>
  <c r="I206" i="1"/>
  <c r="J206" i="1" s="1"/>
  <c r="N205" i="1"/>
  <c r="K205" i="1"/>
  <c r="I205" i="1"/>
  <c r="J205" i="1" s="1"/>
  <c r="G188" i="1"/>
  <c r="N108" i="1"/>
  <c r="K108" i="1"/>
  <c r="I108" i="1"/>
  <c r="J108" i="1" s="1"/>
  <c r="A108" i="1"/>
  <c r="N107" i="1"/>
  <c r="K107" i="1"/>
  <c r="I107" i="1"/>
  <c r="J107" i="1" s="1"/>
  <c r="A107" i="1"/>
  <c r="N106" i="1"/>
  <c r="K106" i="1"/>
  <c r="I106" i="1"/>
  <c r="J106" i="1" s="1"/>
  <c r="A106" i="1"/>
  <c r="G151" i="1"/>
  <c r="N258" i="1"/>
  <c r="K258" i="1"/>
  <c r="I258" i="1"/>
  <c r="J258" i="1" s="1"/>
  <c r="A258" i="1"/>
  <c r="N257" i="1"/>
  <c r="K257" i="1"/>
  <c r="I257" i="1"/>
  <c r="J257" i="1" s="1"/>
  <c r="A257" i="1"/>
  <c r="G159" i="1"/>
  <c r="G183" i="1"/>
  <c r="G182" i="1"/>
  <c r="G181" i="1"/>
  <c r="G180" i="1"/>
  <c r="G179" i="1"/>
  <c r="G177" i="1"/>
  <c r="G176" i="1"/>
  <c r="G175" i="1"/>
  <c r="G174" i="1"/>
  <c r="G173" i="1"/>
  <c r="G171" i="1"/>
  <c r="G169" i="1"/>
  <c r="N169" i="1"/>
  <c r="K169" i="1"/>
  <c r="I169" i="1"/>
  <c r="J169" i="1" s="1"/>
  <c r="A169" i="1"/>
  <c r="G170" i="1"/>
  <c r="G168" i="1"/>
  <c r="G167" i="1"/>
  <c r="G165" i="1"/>
  <c r="G160" i="1"/>
  <c r="N160" i="1"/>
  <c r="K160" i="1"/>
  <c r="I160" i="1"/>
  <c r="J160" i="1" s="1"/>
  <c r="A160" i="1"/>
  <c r="G164" i="1"/>
  <c r="G163" i="1"/>
  <c r="G162" i="1"/>
  <c r="G158" i="1"/>
  <c r="N164" i="1"/>
  <c r="K164" i="1"/>
  <c r="I164" i="1"/>
  <c r="J164" i="1" s="1"/>
  <c r="A164" i="1"/>
  <c r="N163" i="1"/>
  <c r="K163" i="1"/>
  <c r="I163" i="1"/>
  <c r="J163" i="1" s="1"/>
  <c r="A163" i="1"/>
  <c r="N162" i="1"/>
  <c r="K162" i="1"/>
  <c r="I162" i="1"/>
  <c r="J162" i="1" s="1"/>
  <c r="A162" i="1"/>
  <c r="Q161" i="1"/>
  <c r="P161" i="1"/>
  <c r="O161" i="1"/>
  <c r="N161" i="1"/>
  <c r="M161" i="1"/>
  <c r="L161" i="1"/>
  <c r="K161" i="1"/>
  <c r="J161" i="1"/>
  <c r="I161" i="1"/>
  <c r="A161" i="1"/>
  <c r="N159" i="1"/>
  <c r="K159" i="1"/>
  <c r="I159" i="1"/>
  <c r="J159" i="1" s="1"/>
  <c r="A159" i="1"/>
  <c r="N158" i="1"/>
  <c r="K158" i="1"/>
  <c r="I158" i="1"/>
  <c r="J158" i="1" s="1"/>
  <c r="A158" i="1"/>
  <c r="N171" i="1"/>
  <c r="K171" i="1"/>
  <c r="I171" i="1"/>
  <c r="J171" i="1" s="1"/>
  <c r="A171" i="1"/>
  <c r="N170" i="1"/>
  <c r="K170" i="1"/>
  <c r="I170" i="1"/>
  <c r="J170" i="1" s="1"/>
  <c r="A170" i="1"/>
  <c r="N168" i="1"/>
  <c r="K168" i="1"/>
  <c r="I168" i="1"/>
  <c r="J168" i="1" s="1"/>
  <c r="A168" i="1"/>
  <c r="N167" i="1"/>
  <c r="K167" i="1"/>
  <c r="I167" i="1"/>
  <c r="J167" i="1" s="1"/>
  <c r="A167" i="1"/>
  <c r="Q166" i="1"/>
  <c r="P166" i="1"/>
  <c r="O166" i="1"/>
  <c r="N166" i="1"/>
  <c r="M166" i="1"/>
  <c r="L166" i="1"/>
  <c r="K166" i="1"/>
  <c r="J166" i="1"/>
  <c r="I166" i="1"/>
  <c r="A166" i="1"/>
  <c r="N165" i="1"/>
  <c r="K165" i="1"/>
  <c r="I165" i="1"/>
  <c r="J165" i="1" s="1"/>
  <c r="A165" i="1"/>
  <c r="N177" i="1"/>
  <c r="K177" i="1"/>
  <c r="I177" i="1"/>
  <c r="J177" i="1" s="1"/>
  <c r="A177" i="1"/>
  <c r="N176" i="1"/>
  <c r="K176" i="1"/>
  <c r="I176" i="1"/>
  <c r="J176" i="1" s="1"/>
  <c r="A176" i="1"/>
  <c r="N175" i="1"/>
  <c r="K175" i="1"/>
  <c r="I175" i="1"/>
  <c r="J175" i="1" s="1"/>
  <c r="A175" i="1"/>
  <c r="N174" i="1"/>
  <c r="K174" i="1"/>
  <c r="I174" i="1"/>
  <c r="J174" i="1" s="1"/>
  <c r="A174" i="1"/>
  <c r="N173" i="1"/>
  <c r="K173" i="1"/>
  <c r="I173" i="1"/>
  <c r="J173" i="1" s="1"/>
  <c r="A173" i="1"/>
  <c r="Q172" i="1"/>
  <c r="P172" i="1"/>
  <c r="O172" i="1"/>
  <c r="N172" i="1"/>
  <c r="M172" i="1"/>
  <c r="L172" i="1"/>
  <c r="K172" i="1"/>
  <c r="J172" i="1"/>
  <c r="I172" i="1"/>
  <c r="A172" i="1"/>
  <c r="N183" i="1"/>
  <c r="K183" i="1"/>
  <c r="I183" i="1"/>
  <c r="J183" i="1" s="1"/>
  <c r="A183" i="1"/>
  <c r="N182" i="1"/>
  <c r="K182" i="1"/>
  <c r="I182" i="1"/>
  <c r="J182" i="1" s="1"/>
  <c r="A182" i="1"/>
  <c r="N181" i="1"/>
  <c r="K181" i="1"/>
  <c r="I181" i="1"/>
  <c r="J181" i="1" s="1"/>
  <c r="A181" i="1"/>
  <c r="N180" i="1"/>
  <c r="K180" i="1"/>
  <c r="I180" i="1"/>
  <c r="J180" i="1" s="1"/>
  <c r="A180" i="1"/>
  <c r="N179" i="1"/>
  <c r="K179" i="1"/>
  <c r="I179" i="1"/>
  <c r="J179" i="1" s="1"/>
  <c r="A179" i="1"/>
  <c r="Q178" i="1"/>
  <c r="P178" i="1"/>
  <c r="O178" i="1"/>
  <c r="N178" i="1"/>
  <c r="M178" i="1"/>
  <c r="L178" i="1"/>
  <c r="K178" i="1"/>
  <c r="J178" i="1"/>
  <c r="I178" i="1"/>
  <c r="A178" i="1"/>
  <c r="G85" i="1"/>
  <c r="G69" i="1"/>
  <c r="G68" i="1"/>
  <c r="N70" i="1"/>
  <c r="K70" i="1"/>
  <c r="I70" i="1"/>
  <c r="J70" i="1" s="1"/>
  <c r="A70" i="1"/>
  <c r="N69" i="1"/>
  <c r="K69" i="1"/>
  <c r="I69" i="1"/>
  <c r="J69" i="1" s="1"/>
  <c r="A69" i="1"/>
  <c r="N68" i="1"/>
  <c r="K68" i="1"/>
  <c r="I68" i="1"/>
  <c r="J68" i="1" s="1"/>
  <c r="A68" i="1"/>
  <c r="G43" i="1"/>
  <c r="G42" i="1"/>
  <c r="G49" i="1"/>
  <c r="N66" i="1"/>
  <c r="K66" i="1"/>
  <c r="I66" i="1"/>
  <c r="J66" i="1" s="1"/>
  <c r="A66" i="1"/>
  <c r="N65" i="1"/>
  <c r="K65" i="1"/>
  <c r="I65" i="1"/>
  <c r="J65" i="1" s="1"/>
  <c r="A65" i="1"/>
  <c r="N64" i="1"/>
  <c r="K64" i="1"/>
  <c r="I64" i="1"/>
  <c r="J64" i="1" s="1"/>
  <c r="A64" i="1"/>
  <c r="G61" i="1"/>
  <c r="G44" i="1"/>
  <c r="L222" i="1" l="1"/>
  <c r="O222" i="1"/>
  <c r="O104" i="1"/>
  <c r="O136" i="1"/>
  <c r="O138" i="1"/>
  <c r="L104" i="1"/>
  <c r="O139" i="1"/>
  <c r="L139" i="1"/>
  <c r="O137" i="1"/>
  <c r="L138" i="1"/>
  <c r="L137" i="1"/>
  <c r="L136" i="1"/>
  <c r="O124" i="1"/>
  <c r="O241" i="1"/>
  <c r="L124" i="1"/>
  <c r="O242" i="1"/>
  <c r="O243" i="1"/>
  <c r="L243" i="1"/>
  <c r="O240" i="1"/>
  <c r="L226" i="1"/>
  <c r="L224" i="1"/>
  <c r="L240" i="1"/>
  <c r="L242" i="1"/>
  <c r="L241" i="1"/>
  <c r="L227" i="1"/>
  <c r="O226" i="1"/>
  <c r="O225" i="1"/>
  <c r="L223" i="1"/>
  <c r="O227" i="1"/>
  <c r="O224" i="1"/>
  <c r="O223" i="1"/>
  <c r="L225" i="1"/>
  <c r="L208" i="1"/>
  <c r="O208" i="1"/>
  <c r="L205" i="1"/>
  <c r="L108" i="1"/>
  <c r="O205" i="1"/>
  <c r="L206" i="1"/>
  <c r="O206" i="1"/>
  <c r="L107" i="1"/>
  <c r="O70" i="1"/>
  <c r="L257" i="1"/>
  <c r="O106" i="1"/>
  <c r="L106" i="1"/>
  <c r="O107" i="1"/>
  <c r="L70" i="1"/>
  <c r="O108" i="1"/>
  <c r="O258" i="1"/>
  <c r="O171" i="1"/>
  <c r="O163" i="1"/>
  <c r="O257" i="1"/>
  <c r="L258" i="1"/>
  <c r="L182" i="1"/>
  <c r="L173" i="1"/>
  <c r="L168" i="1"/>
  <c r="L179" i="1"/>
  <c r="L183" i="1"/>
  <c r="O179" i="1"/>
  <c r="L174" i="1"/>
  <c r="O177" i="1"/>
  <c r="L181" i="1"/>
  <c r="O175" i="1"/>
  <c r="O180" i="1"/>
  <c r="O183" i="1"/>
  <c r="O173" i="1"/>
  <c r="L177" i="1"/>
  <c r="O168" i="1"/>
  <c r="L171" i="1"/>
  <c r="L159" i="1"/>
  <c r="O182" i="1"/>
  <c r="L175" i="1"/>
  <c r="L176" i="1"/>
  <c r="O170" i="1"/>
  <c r="O164" i="1"/>
  <c r="O181" i="1"/>
  <c r="L180" i="1"/>
  <c r="O176" i="1"/>
  <c r="O174" i="1"/>
  <c r="L170" i="1"/>
  <c r="L169" i="1"/>
  <c r="O169" i="1"/>
  <c r="L167" i="1"/>
  <c r="O167" i="1"/>
  <c r="L165" i="1"/>
  <c r="L163" i="1"/>
  <c r="L160" i="1"/>
  <c r="O162" i="1"/>
  <c r="L164" i="1"/>
  <c r="O165" i="1"/>
  <c r="L158" i="1"/>
  <c r="L162" i="1"/>
  <c r="O160" i="1"/>
  <c r="O159" i="1"/>
  <c r="O158" i="1"/>
  <c r="O66" i="1"/>
  <c r="L69" i="1"/>
  <c r="O69" i="1"/>
  <c r="O68" i="1"/>
  <c r="L68" i="1"/>
  <c r="L66" i="1"/>
  <c r="O65" i="1"/>
  <c r="O64" i="1"/>
  <c r="L65" i="1"/>
  <c r="L64" i="1"/>
  <c r="N586" i="1"/>
  <c r="K586" i="1"/>
  <c r="I586" i="1"/>
  <c r="J586" i="1" s="1"/>
  <c r="A586" i="1"/>
  <c r="N585" i="1"/>
  <c r="K585" i="1"/>
  <c r="I585" i="1"/>
  <c r="J585" i="1" s="1"/>
  <c r="A585" i="1"/>
  <c r="N584" i="1"/>
  <c r="K584" i="1"/>
  <c r="I584" i="1"/>
  <c r="J584" i="1" s="1"/>
  <c r="A584" i="1"/>
  <c r="Q583" i="1"/>
  <c r="P583" i="1"/>
  <c r="O583" i="1"/>
  <c r="N583" i="1"/>
  <c r="M583" i="1"/>
  <c r="L583" i="1"/>
  <c r="K583" i="1"/>
  <c r="J583" i="1"/>
  <c r="I583" i="1"/>
  <c r="A583" i="1"/>
  <c r="L585" i="1" l="1"/>
  <c r="O584" i="1"/>
  <c r="O585" i="1"/>
  <c r="L586" i="1"/>
  <c r="O586" i="1"/>
  <c r="L584" i="1"/>
  <c r="N610" i="1"/>
  <c r="K610" i="1"/>
  <c r="I610" i="1"/>
  <c r="J610" i="1" s="1"/>
  <c r="A610" i="1"/>
  <c r="N612" i="1"/>
  <c r="K612" i="1"/>
  <c r="I612" i="1"/>
  <c r="J612" i="1" s="1"/>
  <c r="A612" i="1"/>
  <c r="G615" i="1"/>
  <c r="G608" i="1"/>
  <c r="G581" i="1"/>
  <c r="G582" i="1"/>
  <c r="G603" i="1"/>
  <c r="N604" i="1"/>
  <c r="K604" i="1"/>
  <c r="I604" i="1"/>
  <c r="J604" i="1" s="1"/>
  <c r="A604" i="1"/>
  <c r="N600" i="1"/>
  <c r="K600" i="1"/>
  <c r="I600" i="1"/>
  <c r="J600" i="1" s="1"/>
  <c r="A600" i="1"/>
  <c r="G580" i="1"/>
  <c r="G602" i="1"/>
  <c r="A595" i="1"/>
  <c r="A596" i="1"/>
  <c r="A597" i="1"/>
  <c r="A598" i="1"/>
  <c r="A599" i="1"/>
  <c r="A601" i="1"/>
  <c r="G601" i="1"/>
  <c r="N35" i="1"/>
  <c r="K35" i="1"/>
  <c r="I35" i="1"/>
  <c r="J35" i="1" s="1"/>
  <c r="A35" i="1"/>
  <c r="N34" i="1"/>
  <c r="K34" i="1"/>
  <c r="I34" i="1"/>
  <c r="J34" i="1" s="1"/>
  <c r="A34" i="1"/>
  <c r="N33" i="1"/>
  <c r="K33" i="1"/>
  <c r="I33" i="1"/>
  <c r="J33" i="1" s="1"/>
  <c r="A33" i="1"/>
  <c r="N32" i="1"/>
  <c r="K32" i="1"/>
  <c r="I32" i="1"/>
  <c r="J32" i="1" s="1"/>
  <c r="A32" i="1"/>
  <c r="N31" i="1"/>
  <c r="K31" i="1"/>
  <c r="I31" i="1"/>
  <c r="J31" i="1" s="1"/>
  <c r="A31" i="1"/>
  <c r="N30" i="1"/>
  <c r="K30" i="1"/>
  <c r="I30" i="1"/>
  <c r="J30" i="1" s="1"/>
  <c r="A30" i="1"/>
  <c r="N29" i="1"/>
  <c r="K29" i="1"/>
  <c r="I29" i="1"/>
  <c r="J29" i="1" s="1"/>
  <c r="A29" i="1"/>
  <c r="N217" i="1"/>
  <c r="K217" i="1"/>
  <c r="I217" i="1"/>
  <c r="J217" i="1" s="1"/>
  <c r="A217" i="1"/>
  <c r="N216" i="1"/>
  <c r="K216" i="1"/>
  <c r="I216" i="1"/>
  <c r="J216" i="1" s="1"/>
  <c r="A216" i="1"/>
  <c r="Q215" i="1"/>
  <c r="P215" i="1"/>
  <c r="O215" i="1"/>
  <c r="N215" i="1"/>
  <c r="M215" i="1"/>
  <c r="L215" i="1"/>
  <c r="K215" i="1"/>
  <c r="J215" i="1"/>
  <c r="I215" i="1"/>
  <c r="A215" i="1"/>
  <c r="N16" i="1"/>
  <c r="K16" i="1"/>
  <c r="I16" i="1"/>
  <c r="J16" i="1" s="1"/>
  <c r="A16" i="1"/>
  <c r="L216" i="1" l="1"/>
  <c r="L217" i="1"/>
  <c r="O217" i="1"/>
  <c r="O216" i="1"/>
  <c r="L35" i="1"/>
  <c r="O29" i="1"/>
  <c r="L610" i="1"/>
  <c r="O610" i="1"/>
  <c r="L612" i="1"/>
  <c r="O35" i="1"/>
  <c r="O612" i="1"/>
  <c r="L604" i="1"/>
  <c r="O604" i="1"/>
  <c r="L600" i="1"/>
  <c r="O600" i="1"/>
  <c r="L30" i="1"/>
  <c r="L34" i="1"/>
  <c r="O30" i="1"/>
  <c r="O32" i="1"/>
  <c r="O34" i="1"/>
  <c r="L32" i="1"/>
  <c r="L33" i="1"/>
  <c r="O33" i="1"/>
  <c r="L31" i="1"/>
  <c r="O31" i="1"/>
  <c r="L29" i="1"/>
  <c r="L16" i="1"/>
  <c r="O16" i="1"/>
  <c r="A21" i="1" l="1"/>
  <c r="A20" i="1"/>
  <c r="A19" i="1"/>
  <c r="A18" i="1"/>
  <c r="A17" i="1"/>
  <c r="A14" i="1"/>
  <c r="A15" i="1"/>
  <c r="A22" i="1"/>
  <c r="A23" i="1"/>
  <c r="A13" i="1"/>
  <c r="A12" i="1"/>
  <c r="A11" i="1"/>
  <c r="A10" i="1"/>
  <c r="A9" i="1"/>
  <c r="N14" i="1" l="1"/>
  <c r="K14" i="1"/>
  <c r="I14" i="1"/>
  <c r="J14" i="1" s="1"/>
  <c r="N17" i="1"/>
  <c r="K17" i="1"/>
  <c r="I17" i="1"/>
  <c r="J17" i="1" s="1"/>
  <c r="N13" i="1"/>
  <c r="K13" i="1"/>
  <c r="I13" i="1"/>
  <c r="J13" i="1" s="1"/>
  <c r="N12" i="1"/>
  <c r="K12" i="1"/>
  <c r="I12" i="1"/>
  <c r="J12" i="1" s="1"/>
  <c r="N18" i="1"/>
  <c r="K18" i="1"/>
  <c r="I18" i="1"/>
  <c r="J18" i="1" s="1"/>
  <c r="N15" i="1"/>
  <c r="K15" i="1"/>
  <c r="I15" i="1"/>
  <c r="J15" i="1" s="1"/>
  <c r="Q196" i="1"/>
  <c r="P196" i="1"/>
  <c r="O196" i="1"/>
  <c r="N196" i="1"/>
  <c r="M196" i="1"/>
  <c r="L196" i="1"/>
  <c r="K196" i="1"/>
  <c r="J196" i="1"/>
  <c r="I196" i="1"/>
  <c r="A115" i="1"/>
  <c r="O15" i="1" l="1"/>
  <c r="L18" i="1"/>
  <c r="O18" i="1"/>
  <c r="L14" i="1"/>
  <c r="O14" i="1"/>
  <c r="L15" i="1"/>
  <c r="O12" i="1"/>
  <c r="L12" i="1"/>
  <c r="L13" i="1"/>
  <c r="O13" i="1"/>
  <c r="L17" i="1"/>
  <c r="O17" i="1"/>
  <c r="A25" i="1"/>
  <c r="A26" i="1"/>
  <c r="A27" i="1"/>
  <c r="A28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7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5" i="1"/>
  <c r="A109" i="1"/>
  <c r="A110" i="1"/>
  <c r="A111" i="1"/>
  <c r="A112" i="1"/>
  <c r="A113" i="1"/>
  <c r="A114" i="1"/>
  <c r="A116" i="1"/>
  <c r="A117" i="1"/>
  <c r="A119" i="1"/>
  <c r="A118" i="1"/>
  <c r="A120" i="1"/>
  <c r="A121" i="1"/>
  <c r="A122" i="1"/>
  <c r="A123" i="1"/>
  <c r="A125" i="1"/>
  <c r="A126" i="1"/>
  <c r="A127" i="1"/>
  <c r="A128" i="1"/>
  <c r="A129" i="1"/>
  <c r="A130" i="1"/>
  <c r="A131" i="1"/>
  <c r="A132" i="1"/>
  <c r="A133" i="1"/>
  <c r="A134" i="1"/>
  <c r="A135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84" i="1"/>
  <c r="A185" i="1"/>
  <c r="A186" i="1"/>
  <c r="A187" i="1"/>
  <c r="A188" i="1"/>
  <c r="A189" i="1"/>
  <c r="A190" i="1"/>
  <c r="A191" i="1"/>
  <c r="A192" i="1"/>
  <c r="A193" i="1"/>
  <c r="A207" i="1"/>
  <c r="A209" i="1"/>
  <c r="A210" i="1"/>
  <c r="A211" i="1"/>
  <c r="A212" i="1"/>
  <c r="A213" i="1"/>
  <c r="A214" i="1"/>
  <c r="A218" i="1"/>
  <c r="A219" i="1"/>
  <c r="A220" i="1"/>
  <c r="A221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9" i="1"/>
  <c r="A260" i="1"/>
  <c r="A261" i="1"/>
  <c r="A262" i="1"/>
  <c r="A263" i="1"/>
  <c r="A264" i="1"/>
  <c r="A265" i="1"/>
  <c r="A266" i="1"/>
  <c r="A267" i="1"/>
  <c r="A268" i="1"/>
  <c r="A269" i="1"/>
  <c r="A344" i="1"/>
  <c r="A345" i="1"/>
  <c r="A366" i="1"/>
  <c r="A439" i="1"/>
  <c r="A440" i="1"/>
  <c r="A441" i="1"/>
  <c r="A484" i="1"/>
  <c r="A576" i="1"/>
  <c r="A577" i="1"/>
  <c r="A578" i="1"/>
  <c r="A579" i="1"/>
  <c r="A580" i="1"/>
  <c r="A581" i="1"/>
  <c r="A582" i="1"/>
  <c r="A587" i="1"/>
  <c r="A588" i="1"/>
  <c r="A589" i="1"/>
  <c r="A590" i="1"/>
  <c r="A591" i="1"/>
  <c r="A592" i="1"/>
  <c r="A593" i="1"/>
  <c r="A594" i="1"/>
  <c r="A602" i="1"/>
  <c r="A603" i="1"/>
  <c r="A605" i="1"/>
  <c r="A606" i="1"/>
  <c r="A607" i="1"/>
  <c r="A608" i="1"/>
  <c r="A609" i="1"/>
  <c r="A611" i="1"/>
  <c r="A613" i="1"/>
  <c r="A614" i="1"/>
  <c r="A615" i="1"/>
  <c r="A616" i="1"/>
  <c r="A617" i="1"/>
  <c r="A618" i="1"/>
  <c r="A619" i="1"/>
  <c r="A620" i="1"/>
  <c r="A24" i="1"/>
  <c r="F5" i="1" l="1"/>
  <c r="I185" i="1" l="1"/>
  <c r="J185" i="1" s="1"/>
  <c r="I184" i="1"/>
  <c r="J184" i="1" s="1"/>
  <c r="O184" i="1" s="1"/>
  <c r="I186" i="1"/>
  <c r="J186" i="1" s="1"/>
  <c r="Q265" i="1"/>
  <c r="P265" i="1"/>
  <c r="O265" i="1"/>
  <c r="N265" i="1"/>
  <c r="M265" i="1"/>
  <c r="L265" i="1"/>
  <c r="K265" i="1"/>
  <c r="J265" i="1"/>
  <c r="I265" i="1"/>
  <c r="Q366" i="1"/>
  <c r="P366" i="1"/>
  <c r="O366" i="1"/>
  <c r="N366" i="1"/>
  <c r="M366" i="1"/>
  <c r="L366" i="1"/>
  <c r="K366" i="1"/>
  <c r="J366" i="1"/>
  <c r="I366" i="1"/>
  <c r="L186" i="1" l="1"/>
  <c r="O186" i="1"/>
  <c r="O185" i="1"/>
  <c r="L185" i="1"/>
  <c r="L184" i="1"/>
  <c r="A1" i="2" l="1"/>
  <c r="K10" i="1"/>
  <c r="Q576" i="1" l="1"/>
  <c r="P576" i="1"/>
  <c r="O576" i="1"/>
  <c r="N576" i="1"/>
  <c r="M576" i="1"/>
  <c r="L576" i="1"/>
  <c r="K576" i="1"/>
  <c r="J576" i="1"/>
  <c r="I576" i="1"/>
  <c r="Q484" i="1"/>
  <c r="P484" i="1"/>
  <c r="O484" i="1"/>
  <c r="N484" i="1"/>
  <c r="M484" i="1"/>
  <c r="L484" i="1"/>
  <c r="K484" i="1"/>
  <c r="J484" i="1"/>
  <c r="I484" i="1"/>
  <c r="Q439" i="1"/>
  <c r="P439" i="1"/>
  <c r="O439" i="1"/>
  <c r="N439" i="1"/>
  <c r="M439" i="1"/>
  <c r="L439" i="1"/>
  <c r="K439" i="1"/>
  <c r="J439" i="1"/>
  <c r="I439" i="1"/>
  <c r="Q343" i="1"/>
  <c r="P343" i="1"/>
  <c r="O343" i="1"/>
  <c r="N343" i="1"/>
  <c r="M343" i="1"/>
  <c r="L343" i="1"/>
  <c r="K343" i="1"/>
  <c r="J343" i="1"/>
  <c r="I343" i="1"/>
  <c r="Q267" i="1"/>
  <c r="P267" i="1"/>
  <c r="O267" i="1"/>
  <c r="N267" i="1"/>
  <c r="M267" i="1"/>
  <c r="L267" i="1"/>
  <c r="K267" i="1"/>
  <c r="J267" i="1"/>
  <c r="I267" i="1"/>
  <c r="N266" i="1"/>
  <c r="K266" i="1"/>
  <c r="I266" i="1"/>
  <c r="J266" i="1" s="1"/>
  <c r="Q22" i="1"/>
  <c r="P22" i="1"/>
  <c r="O22" i="1"/>
  <c r="N22" i="1"/>
  <c r="M22" i="1"/>
  <c r="L22" i="1"/>
  <c r="K22" i="1"/>
  <c r="J22" i="1"/>
  <c r="I22" i="1"/>
  <c r="N21" i="1"/>
  <c r="K21" i="1"/>
  <c r="I21" i="1"/>
  <c r="J21" i="1" s="1"/>
  <c r="N20" i="1"/>
  <c r="O20" i="1" s="1"/>
  <c r="P20" i="1" s="1"/>
  <c r="M20" i="1"/>
  <c r="K20" i="1"/>
  <c r="I20" i="1"/>
  <c r="J20" i="1" s="1"/>
  <c r="N19" i="1"/>
  <c r="O19" i="1" s="1"/>
  <c r="P19" i="1" s="1"/>
  <c r="M19" i="1"/>
  <c r="K19" i="1"/>
  <c r="L19" i="1" s="1"/>
  <c r="J19" i="1"/>
  <c r="I19" i="1"/>
  <c r="N11" i="1"/>
  <c r="K11" i="1"/>
  <c r="I11" i="1"/>
  <c r="J11" i="1" s="1"/>
  <c r="N10" i="1"/>
  <c r="I10" i="1"/>
  <c r="J10" i="1" s="1"/>
  <c r="N9" i="1"/>
  <c r="K9" i="1"/>
  <c r="I9" i="1"/>
  <c r="J9" i="1" s="1"/>
  <c r="O266" i="1" l="1"/>
  <c r="Q268" i="1" s="1"/>
  <c r="L266" i="1"/>
  <c r="L21" i="1"/>
  <c r="O21" i="1"/>
  <c r="L11" i="1"/>
  <c r="O10" i="1"/>
  <c r="O9" i="1"/>
  <c r="Q577" i="1"/>
  <c r="K344" i="1"/>
  <c r="D17" i="2" s="1"/>
  <c r="F17" i="2" s="1"/>
  <c r="K577" i="1"/>
  <c r="D19" i="2" s="1"/>
  <c r="F19" i="2" s="1"/>
  <c r="Q344" i="1"/>
  <c r="K268" i="1"/>
  <c r="D16" i="2" s="1"/>
  <c r="F16" i="2" s="1"/>
  <c r="K440" i="1"/>
  <c r="D18" i="2" s="1"/>
  <c r="F18" i="2" s="1"/>
  <c r="Q440" i="1"/>
  <c r="Q19" i="1"/>
  <c r="L20" i="1"/>
  <c r="Q20" i="1" s="1"/>
  <c r="O11" i="1"/>
  <c r="L9" i="1"/>
  <c r="L10" i="1"/>
  <c r="Q229" i="1"/>
  <c r="P229" i="1"/>
  <c r="O229" i="1"/>
  <c r="M229" i="1"/>
  <c r="L229" i="1"/>
  <c r="J229" i="1"/>
  <c r="I229" i="1"/>
  <c r="I596" i="1"/>
  <c r="J596" i="1" s="1"/>
  <c r="K596" i="1"/>
  <c r="N596" i="1"/>
  <c r="I595" i="1"/>
  <c r="J595" i="1" s="1"/>
  <c r="K595" i="1"/>
  <c r="N595" i="1"/>
  <c r="I597" i="1"/>
  <c r="J597" i="1" s="1"/>
  <c r="K597" i="1"/>
  <c r="N597" i="1"/>
  <c r="I598" i="1"/>
  <c r="J598" i="1" s="1"/>
  <c r="K598" i="1"/>
  <c r="N598" i="1"/>
  <c r="I599" i="1"/>
  <c r="J599" i="1"/>
  <c r="K599" i="1"/>
  <c r="L599" i="1"/>
  <c r="M599" i="1"/>
  <c r="N599" i="1"/>
  <c r="O599" i="1"/>
  <c r="P599" i="1"/>
  <c r="Q599" i="1"/>
  <c r="I601" i="1"/>
  <c r="J601" i="1" s="1"/>
  <c r="K601" i="1"/>
  <c r="N601" i="1"/>
  <c r="I602" i="1"/>
  <c r="J602" i="1" s="1"/>
  <c r="K602" i="1"/>
  <c r="N602" i="1"/>
  <c r="I603" i="1"/>
  <c r="J603" i="1" s="1"/>
  <c r="K603" i="1"/>
  <c r="N603" i="1"/>
  <c r="I605" i="1"/>
  <c r="J605" i="1"/>
  <c r="K605" i="1"/>
  <c r="L605" i="1"/>
  <c r="M605" i="1"/>
  <c r="N605" i="1"/>
  <c r="O605" i="1"/>
  <c r="P605" i="1"/>
  <c r="Q605" i="1"/>
  <c r="I606" i="1"/>
  <c r="J606" i="1" s="1"/>
  <c r="K606" i="1"/>
  <c r="N606" i="1"/>
  <c r="I607" i="1"/>
  <c r="J607" i="1"/>
  <c r="K607" i="1"/>
  <c r="L607" i="1"/>
  <c r="M607" i="1"/>
  <c r="N607" i="1"/>
  <c r="O607" i="1"/>
  <c r="P607" i="1"/>
  <c r="Q607" i="1"/>
  <c r="I608" i="1"/>
  <c r="J608" i="1" s="1"/>
  <c r="K608" i="1"/>
  <c r="N608" i="1"/>
  <c r="I609" i="1"/>
  <c r="J609" i="1" s="1"/>
  <c r="K609" i="1"/>
  <c r="N609" i="1"/>
  <c r="I611" i="1"/>
  <c r="J611" i="1" s="1"/>
  <c r="K611" i="1"/>
  <c r="N611" i="1"/>
  <c r="I613" i="1"/>
  <c r="J613" i="1"/>
  <c r="K613" i="1"/>
  <c r="L613" i="1"/>
  <c r="M613" i="1"/>
  <c r="N613" i="1"/>
  <c r="O613" i="1"/>
  <c r="P613" i="1"/>
  <c r="Q613" i="1"/>
  <c r="I614" i="1"/>
  <c r="J614" i="1" s="1"/>
  <c r="K614" i="1"/>
  <c r="N614" i="1"/>
  <c r="I615" i="1"/>
  <c r="J615" i="1" s="1"/>
  <c r="K615" i="1"/>
  <c r="N615" i="1"/>
  <c r="I616" i="1"/>
  <c r="J616" i="1"/>
  <c r="K616" i="1"/>
  <c r="L616" i="1"/>
  <c r="M616" i="1"/>
  <c r="N616" i="1"/>
  <c r="O616" i="1"/>
  <c r="P616" i="1"/>
  <c r="Q616" i="1"/>
  <c r="I579" i="1"/>
  <c r="J579" i="1"/>
  <c r="K579" i="1"/>
  <c r="L579" i="1"/>
  <c r="M579" i="1"/>
  <c r="N579" i="1"/>
  <c r="O579" i="1"/>
  <c r="P579" i="1"/>
  <c r="Q579" i="1"/>
  <c r="I580" i="1"/>
  <c r="J580" i="1" s="1"/>
  <c r="K580" i="1"/>
  <c r="N580" i="1"/>
  <c r="I581" i="1"/>
  <c r="J581" i="1" s="1"/>
  <c r="K581" i="1"/>
  <c r="N581" i="1"/>
  <c r="I582" i="1"/>
  <c r="J582" i="1" s="1"/>
  <c r="K582" i="1"/>
  <c r="N582" i="1"/>
  <c r="I587" i="1"/>
  <c r="J587" i="1"/>
  <c r="K587" i="1"/>
  <c r="L587" i="1"/>
  <c r="M587" i="1"/>
  <c r="N587" i="1"/>
  <c r="O587" i="1"/>
  <c r="P587" i="1"/>
  <c r="Q587" i="1"/>
  <c r="I588" i="1"/>
  <c r="J588" i="1" s="1"/>
  <c r="K588" i="1"/>
  <c r="N588" i="1"/>
  <c r="I589" i="1"/>
  <c r="J589" i="1"/>
  <c r="K589" i="1"/>
  <c r="L589" i="1"/>
  <c r="M589" i="1"/>
  <c r="N589" i="1"/>
  <c r="O589" i="1"/>
  <c r="P589" i="1"/>
  <c r="Q589" i="1"/>
  <c r="I590" i="1"/>
  <c r="J590" i="1" s="1"/>
  <c r="K590" i="1"/>
  <c r="N590" i="1"/>
  <c r="I591" i="1"/>
  <c r="J591" i="1"/>
  <c r="K591" i="1"/>
  <c r="L591" i="1"/>
  <c r="M591" i="1"/>
  <c r="N591" i="1"/>
  <c r="O591" i="1"/>
  <c r="P591" i="1"/>
  <c r="Q591" i="1"/>
  <c r="Q620" i="1"/>
  <c r="P620" i="1"/>
  <c r="O620" i="1"/>
  <c r="N620" i="1"/>
  <c r="M620" i="1"/>
  <c r="L620" i="1"/>
  <c r="K620" i="1"/>
  <c r="J620" i="1"/>
  <c r="I620" i="1"/>
  <c r="Q618" i="1"/>
  <c r="P618" i="1"/>
  <c r="O618" i="1"/>
  <c r="N618" i="1"/>
  <c r="M618" i="1"/>
  <c r="L618" i="1"/>
  <c r="K618" i="1"/>
  <c r="J618" i="1"/>
  <c r="I618" i="1"/>
  <c r="Q594" i="1"/>
  <c r="P594" i="1"/>
  <c r="O594" i="1"/>
  <c r="N594" i="1"/>
  <c r="M594" i="1"/>
  <c r="L594" i="1"/>
  <c r="K594" i="1"/>
  <c r="J594" i="1"/>
  <c r="I594" i="1"/>
  <c r="Q262" i="1"/>
  <c r="P262" i="1"/>
  <c r="O262" i="1"/>
  <c r="N262" i="1"/>
  <c r="M262" i="1"/>
  <c r="L262" i="1"/>
  <c r="K262" i="1"/>
  <c r="J262" i="1"/>
  <c r="I262" i="1"/>
  <c r="N261" i="1"/>
  <c r="K261" i="1"/>
  <c r="I261" i="1"/>
  <c r="J261" i="1" s="1"/>
  <c r="N260" i="1"/>
  <c r="K260" i="1"/>
  <c r="I260" i="1"/>
  <c r="J260" i="1" s="1"/>
  <c r="Q259" i="1"/>
  <c r="P259" i="1"/>
  <c r="O259" i="1"/>
  <c r="N259" i="1"/>
  <c r="M259" i="1"/>
  <c r="L259" i="1"/>
  <c r="K259" i="1"/>
  <c r="J259" i="1"/>
  <c r="I259" i="1"/>
  <c r="N256" i="1"/>
  <c r="K256" i="1"/>
  <c r="I256" i="1"/>
  <c r="J256" i="1" s="1"/>
  <c r="Q255" i="1"/>
  <c r="P255" i="1"/>
  <c r="O255" i="1"/>
  <c r="N255" i="1"/>
  <c r="M255" i="1"/>
  <c r="L255" i="1"/>
  <c r="K255" i="1"/>
  <c r="J255" i="1"/>
  <c r="I255" i="1"/>
  <c r="N254" i="1"/>
  <c r="K254" i="1"/>
  <c r="I254" i="1"/>
  <c r="J254" i="1" s="1"/>
  <c r="Q253" i="1"/>
  <c r="P253" i="1"/>
  <c r="O253" i="1"/>
  <c r="N253" i="1"/>
  <c r="M253" i="1"/>
  <c r="L253" i="1"/>
  <c r="K253" i="1"/>
  <c r="J253" i="1"/>
  <c r="I253" i="1"/>
  <c r="Q250" i="1"/>
  <c r="P250" i="1"/>
  <c r="O250" i="1"/>
  <c r="N250" i="1"/>
  <c r="M250" i="1"/>
  <c r="L250" i="1"/>
  <c r="K250" i="1"/>
  <c r="J250" i="1"/>
  <c r="I250" i="1"/>
  <c r="N249" i="1"/>
  <c r="K249" i="1"/>
  <c r="I249" i="1"/>
  <c r="J249" i="1" s="1"/>
  <c r="Q248" i="1"/>
  <c r="P248" i="1"/>
  <c r="O248" i="1"/>
  <c r="N248" i="1"/>
  <c r="M248" i="1"/>
  <c r="L248" i="1"/>
  <c r="K248" i="1"/>
  <c r="J248" i="1"/>
  <c r="I248" i="1"/>
  <c r="N247" i="1"/>
  <c r="K247" i="1"/>
  <c r="I247" i="1"/>
  <c r="J247" i="1" s="1"/>
  <c r="Q246" i="1"/>
  <c r="P246" i="1"/>
  <c r="O246" i="1"/>
  <c r="N246" i="1"/>
  <c r="M246" i="1"/>
  <c r="L246" i="1"/>
  <c r="K246" i="1"/>
  <c r="J246" i="1"/>
  <c r="I246" i="1"/>
  <c r="N245" i="1"/>
  <c r="K245" i="1"/>
  <c r="I245" i="1"/>
  <c r="J245" i="1" s="1"/>
  <c r="Q244" i="1"/>
  <c r="P244" i="1"/>
  <c r="O244" i="1"/>
  <c r="N244" i="1"/>
  <c r="M244" i="1"/>
  <c r="L244" i="1"/>
  <c r="K244" i="1"/>
  <c r="J244" i="1"/>
  <c r="I244" i="1"/>
  <c r="N239" i="1"/>
  <c r="K239" i="1"/>
  <c r="I239" i="1"/>
  <c r="J239" i="1" s="1"/>
  <c r="N238" i="1"/>
  <c r="K238" i="1"/>
  <c r="I238" i="1"/>
  <c r="J238" i="1" s="1"/>
  <c r="Q237" i="1"/>
  <c r="P237" i="1"/>
  <c r="O237" i="1"/>
  <c r="N237" i="1"/>
  <c r="M237" i="1"/>
  <c r="L237" i="1"/>
  <c r="K237" i="1"/>
  <c r="J237" i="1"/>
  <c r="I237" i="1"/>
  <c r="N76" i="1"/>
  <c r="K76" i="1"/>
  <c r="I76" i="1"/>
  <c r="J76" i="1" s="1"/>
  <c r="N236" i="1"/>
  <c r="K236" i="1"/>
  <c r="I236" i="1"/>
  <c r="J236" i="1" s="1"/>
  <c r="N235" i="1"/>
  <c r="K235" i="1"/>
  <c r="I235" i="1"/>
  <c r="J235" i="1" s="1"/>
  <c r="N234" i="1"/>
  <c r="K234" i="1"/>
  <c r="I234" i="1"/>
  <c r="J234" i="1" s="1"/>
  <c r="N233" i="1"/>
  <c r="K233" i="1"/>
  <c r="I233" i="1"/>
  <c r="J233" i="1" s="1"/>
  <c r="Q232" i="1"/>
  <c r="P232" i="1"/>
  <c r="O232" i="1"/>
  <c r="N232" i="1"/>
  <c r="M232" i="1"/>
  <c r="L232" i="1"/>
  <c r="K232" i="1"/>
  <c r="J232" i="1"/>
  <c r="I232" i="1"/>
  <c r="N229" i="1"/>
  <c r="K229" i="1"/>
  <c r="N228" i="1"/>
  <c r="K228" i="1"/>
  <c r="I228" i="1"/>
  <c r="J228" i="1" s="1"/>
  <c r="N221" i="1"/>
  <c r="K221" i="1"/>
  <c r="I221" i="1"/>
  <c r="J221" i="1" s="1"/>
  <c r="N220" i="1"/>
  <c r="K220" i="1"/>
  <c r="I220" i="1"/>
  <c r="J220" i="1" s="1"/>
  <c r="N219" i="1"/>
  <c r="K219" i="1"/>
  <c r="I219" i="1"/>
  <c r="J219" i="1" s="1"/>
  <c r="Q218" i="1"/>
  <c r="P218" i="1"/>
  <c r="O218" i="1"/>
  <c r="N218" i="1"/>
  <c r="M218" i="1"/>
  <c r="L218" i="1"/>
  <c r="K218" i="1"/>
  <c r="J218" i="1"/>
  <c r="I218" i="1"/>
  <c r="N214" i="1"/>
  <c r="K214" i="1"/>
  <c r="I214" i="1"/>
  <c r="J214" i="1" s="1"/>
  <c r="N213" i="1"/>
  <c r="K213" i="1"/>
  <c r="I213" i="1"/>
  <c r="J213" i="1" s="1"/>
  <c r="Q212" i="1"/>
  <c r="P212" i="1"/>
  <c r="O212" i="1"/>
  <c r="N212" i="1"/>
  <c r="M212" i="1"/>
  <c r="L212" i="1"/>
  <c r="K212" i="1"/>
  <c r="J212" i="1"/>
  <c r="I212" i="1"/>
  <c r="N211" i="1"/>
  <c r="K211" i="1"/>
  <c r="I211" i="1"/>
  <c r="J211" i="1" s="1"/>
  <c r="Q210" i="1"/>
  <c r="P210" i="1"/>
  <c r="O210" i="1"/>
  <c r="N210" i="1"/>
  <c r="M210" i="1"/>
  <c r="L210" i="1"/>
  <c r="K210" i="1"/>
  <c r="J210" i="1"/>
  <c r="I210" i="1"/>
  <c r="N209" i="1"/>
  <c r="K209" i="1"/>
  <c r="I209" i="1"/>
  <c r="J209" i="1" s="1"/>
  <c r="Q207" i="1"/>
  <c r="P207" i="1"/>
  <c r="O207" i="1"/>
  <c r="N207" i="1"/>
  <c r="M207" i="1"/>
  <c r="L207" i="1"/>
  <c r="K207" i="1"/>
  <c r="J207" i="1"/>
  <c r="I207" i="1"/>
  <c r="N200" i="1"/>
  <c r="K200" i="1"/>
  <c r="I200" i="1"/>
  <c r="J200" i="1" s="1"/>
  <c r="N204" i="1"/>
  <c r="K204" i="1"/>
  <c r="I204" i="1"/>
  <c r="J204" i="1" s="1"/>
  <c r="N203" i="1"/>
  <c r="K203" i="1"/>
  <c r="I203" i="1"/>
  <c r="J203" i="1" s="1"/>
  <c r="N202" i="1"/>
  <c r="K202" i="1"/>
  <c r="I202" i="1"/>
  <c r="J202" i="1" s="1"/>
  <c r="N197" i="1"/>
  <c r="K197" i="1"/>
  <c r="I197" i="1"/>
  <c r="J197" i="1" s="1"/>
  <c r="N201" i="1"/>
  <c r="K201" i="1"/>
  <c r="I201" i="1"/>
  <c r="J201" i="1" s="1"/>
  <c r="N199" i="1"/>
  <c r="K199" i="1"/>
  <c r="I199" i="1"/>
  <c r="J199" i="1" s="1"/>
  <c r="Q198" i="1"/>
  <c r="P198" i="1"/>
  <c r="O198" i="1"/>
  <c r="N198" i="1"/>
  <c r="M198" i="1"/>
  <c r="L198" i="1"/>
  <c r="K198" i="1"/>
  <c r="J198" i="1"/>
  <c r="I198" i="1"/>
  <c r="N195" i="1"/>
  <c r="K195" i="1"/>
  <c r="I195" i="1"/>
  <c r="J195" i="1" s="1"/>
  <c r="N194" i="1"/>
  <c r="K194" i="1"/>
  <c r="I194" i="1"/>
  <c r="J194" i="1" s="1"/>
  <c r="Q193" i="1"/>
  <c r="P193" i="1"/>
  <c r="O193" i="1"/>
  <c r="N193" i="1"/>
  <c r="M193" i="1"/>
  <c r="L193" i="1"/>
  <c r="K193" i="1"/>
  <c r="J193" i="1"/>
  <c r="I193" i="1"/>
  <c r="N192" i="1"/>
  <c r="K192" i="1"/>
  <c r="I192" i="1"/>
  <c r="J192" i="1" s="1"/>
  <c r="N191" i="1"/>
  <c r="K191" i="1"/>
  <c r="I191" i="1"/>
  <c r="J191" i="1" s="1"/>
  <c r="N190" i="1"/>
  <c r="K190" i="1"/>
  <c r="I190" i="1"/>
  <c r="J190" i="1" s="1"/>
  <c r="Q189" i="1"/>
  <c r="P189" i="1"/>
  <c r="O189" i="1"/>
  <c r="N189" i="1"/>
  <c r="M189" i="1"/>
  <c r="L189" i="1"/>
  <c r="K189" i="1"/>
  <c r="J189" i="1"/>
  <c r="I189" i="1"/>
  <c r="N188" i="1"/>
  <c r="K188" i="1"/>
  <c r="I188" i="1"/>
  <c r="J188" i="1" s="1"/>
  <c r="Q187" i="1"/>
  <c r="P187" i="1"/>
  <c r="O187" i="1"/>
  <c r="N187" i="1"/>
  <c r="M187" i="1"/>
  <c r="L187" i="1"/>
  <c r="K187" i="1"/>
  <c r="J187" i="1"/>
  <c r="I187" i="1"/>
  <c r="Q157" i="1"/>
  <c r="P157" i="1"/>
  <c r="O157" i="1"/>
  <c r="N157" i="1"/>
  <c r="M157" i="1"/>
  <c r="L157" i="1"/>
  <c r="K157" i="1"/>
  <c r="J157" i="1"/>
  <c r="I157" i="1"/>
  <c r="Q156" i="1"/>
  <c r="P156" i="1"/>
  <c r="O156" i="1"/>
  <c r="N156" i="1"/>
  <c r="M156" i="1"/>
  <c r="L156" i="1"/>
  <c r="K156" i="1"/>
  <c r="J156" i="1"/>
  <c r="I156" i="1"/>
  <c r="Q153" i="1"/>
  <c r="P153" i="1"/>
  <c r="O153" i="1"/>
  <c r="N153" i="1"/>
  <c r="M153" i="1"/>
  <c r="L153" i="1"/>
  <c r="K153" i="1"/>
  <c r="J153" i="1"/>
  <c r="I153" i="1"/>
  <c r="N152" i="1"/>
  <c r="K152" i="1"/>
  <c r="I152" i="1"/>
  <c r="J152" i="1" s="1"/>
  <c r="N151" i="1"/>
  <c r="K151" i="1"/>
  <c r="I151" i="1"/>
  <c r="J151" i="1" s="1"/>
  <c r="Q150" i="1"/>
  <c r="P150" i="1"/>
  <c r="O150" i="1"/>
  <c r="N150" i="1"/>
  <c r="M150" i="1"/>
  <c r="L150" i="1"/>
  <c r="K150" i="1"/>
  <c r="J150" i="1"/>
  <c r="I150" i="1"/>
  <c r="N149" i="1"/>
  <c r="K149" i="1"/>
  <c r="I149" i="1"/>
  <c r="J149" i="1" s="1"/>
  <c r="Q148" i="1"/>
  <c r="P148" i="1"/>
  <c r="O148" i="1"/>
  <c r="N148" i="1"/>
  <c r="M148" i="1"/>
  <c r="L148" i="1"/>
  <c r="K148" i="1"/>
  <c r="J148" i="1"/>
  <c r="I148" i="1"/>
  <c r="N147" i="1"/>
  <c r="K147" i="1"/>
  <c r="I147" i="1"/>
  <c r="J147" i="1" s="1"/>
  <c r="N146" i="1"/>
  <c r="K146" i="1"/>
  <c r="I146" i="1"/>
  <c r="J146" i="1" s="1"/>
  <c r="N145" i="1"/>
  <c r="K145" i="1"/>
  <c r="I145" i="1"/>
  <c r="J145" i="1" s="1"/>
  <c r="Q144" i="1"/>
  <c r="P144" i="1"/>
  <c r="O144" i="1"/>
  <c r="N144" i="1"/>
  <c r="M144" i="1"/>
  <c r="L144" i="1"/>
  <c r="K144" i="1"/>
  <c r="J144" i="1"/>
  <c r="I144" i="1"/>
  <c r="N143" i="1"/>
  <c r="K143" i="1"/>
  <c r="I143" i="1"/>
  <c r="J143" i="1" s="1"/>
  <c r="N142" i="1"/>
  <c r="K142" i="1"/>
  <c r="I142" i="1"/>
  <c r="J142" i="1" s="1"/>
  <c r="N141" i="1"/>
  <c r="K141" i="1"/>
  <c r="I141" i="1"/>
  <c r="J141" i="1" s="1"/>
  <c r="Q140" i="1"/>
  <c r="P140" i="1"/>
  <c r="O140" i="1"/>
  <c r="N140" i="1"/>
  <c r="M140" i="1"/>
  <c r="L140" i="1"/>
  <c r="K140" i="1"/>
  <c r="J140" i="1"/>
  <c r="I140" i="1"/>
  <c r="N135" i="1"/>
  <c r="K135" i="1"/>
  <c r="I135" i="1"/>
  <c r="J135" i="1" s="1"/>
  <c r="N134" i="1"/>
  <c r="K134" i="1"/>
  <c r="I134" i="1"/>
  <c r="J134" i="1" s="1"/>
  <c r="N133" i="1"/>
  <c r="K133" i="1"/>
  <c r="I133" i="1"/>
  <c r="J133" i="1" s="1"/>
  <c r="Q132" i="1"/>
  <c r="P132" i="1"/>
  <c r="O132" i="1"/>
  <c r="N132" i="1"/>
  <c r="M132" i="1"/>
  <c r="L132" i="1"/>
  <c r="K132" i="1"/>
  <c r="J132" i="1"/>
  <c r="I132" i="1"/>
  <c r="Q129" i="1"/>
  <c r="P129" i="1"/>
  <c r="O129" i="1"/>
  <c r="N129" i="1"/>
  <c r="M129" i="1"/>
  <c r="L129" i="1"/>
  <c r="K129" i="1"/>
  <c r="J129" i="1"/>
  <c r="I129" i="1"/>
  <c r="N128" i="1"/>
  <c r="K128" i="1"/>
  <c r="I128" i="1"/>
  <c r="J128" i="1" s="1"/>
  <c r="Q127" i="1"/>
  <c r="P127" i="1"/>
  <c r="O127" i="1"/>
  <c r="N127" i="1"/>
  <c r="M127" i="1"/>
  <c r="L127" i="1"/>
  <c r="K127" i="1"/>
  <c r="J127" i="1"/>
  <c r="I127" i="1"/>
  <c r="N126" i="1"/>
  <c r="K126" i="1"/>
  <c r="I126" i="1"/>
  <c r="J126" i="1" s="1"/>
  <c r="Q125" i="1"/>
  <c r="P125" i="1"/>
  <c r="O125" i="1"/>
  <c r="N125" i="1"/>
  <c r="M125" i="1"/>
  <c r="L125" i="1"/>
  <c r="K125" i="1"/>
  <c r="J125" i="1"/>
  <c r="I125" i="1"/>
  <c r="N123" i="1"/>
  <c r="K123" i="1"/>
  <c r="I123" i="1"/>
  <c r="J123" i="1" s="1"/>
  <c r="N122" i="1"/>
  <c r="K122" i="1"/>
  <c r="I122" i="1"/>
  <c r="J122" i="1" s="1"/>
  <c r="N121" i="1"/>
  <c r="K121" i="1"/>
  <c r="I121" i="1"/>
  <c r="J121" i="1" s="1"/>
  <c r="Q120" i="1"/>
  <c r="P120" i="1"/>
  <c r="O120" i="1"/>
  <c r="N120" i="1"/>
  <c r="M120" i="1"/>
  <c r="L120" i="1"/>
  <c r="K120" i="1"/>
  <c r="J120" i="1"/>
  <c r="I120" i="1"/>
  <c r="Q118" i="1"/>
  <c r="P118" i="1"/>
  <c r="O118" i="1"/>
  <c r="N118" i="1"/>
  <c r="M118" i="1"/>
  <c r="L118" i="1"/>
  <c r="K118" i="1"/>
  <c r="J118" i="1"/>
  <c r="I118" i="1"/>
  <c r="N119" i="1"/>
  <c r="K119" i="1"/>
  <c r="I119" i="1"/>
  <c r="J119" i="1" s="1"/>
  <c r="Q115" i="1"/>
  <c r="P115" i="1"/>
  <c r="O115" i="1"/>
  <c r="N115" i="1"/>
  <c r="M115" i="1"/>
  <c r="L115" i="1"/>
  <c r="K115" i="1"/>
  <c r="J115" i="1"/>
  <c r="I115" i="1"/>
  <c r="N114" i="1"/>
  <c r="K114" i="1"/>
  <c r="I114" i="1"/>
  <c r="J114" i="1" s="1"/>
  <c r="Q113" i="1"/>
  <c r="P113" i="1"/>
  <c r="O113" i="1"/>
  <c r="N113" i="1"/>
  <c r="M113" i="1"/>
  <c r="L113" i="1"/>
  <c r="K113" i="1"/>
  <c r="J113" i="1"/>
  <c r="I113" i="1"/>
  <c r="Q110" i="1"/>
  <c r="P110" i="1"/>
  <c r="O110" i="1"/>
  <c r="N110" i="1"/>
  <c r="M110" i="1"/>
  <c r="L110" i="1"/>
  <c r="K110" i="1"/>
  <c r="J110" i="1"/>
  <c r="I110" i="1"/>
  <c r="N109" i="1"/>
  <c r="K109" i="1"/>
  <c r="I109" i="1"/>
  <c r="J109" i="1" s="1"/>
  <c r="N105" i="1"/>
  <c r="K105" i="1"/>
  <c r="I105" i="1"/>
  <c r="J105" i="1" s="1"/>
  <c r="N103" i="1"/>
  <c r="K103" i="1"/>
  <c r="I103" i="1"/>
  <c r="J103" i="1" s="1"/>
  <c r="N102" i="1"/>
  <c r="K102" i="1"/>
  <c r="I102" i="1"/>
  <c r="J102" i="1" s="1"/>
  <c r="Q101" i="1"/>
  <c r="P101" i="1"/>
  <c r="O101" i="1"/>
  <c r="N101" i="1"/>
  <c r="M101" i="1"/>
  <c r="L101" i="1"/>
  <c r="K101" i="1"/>
  <c r="J101" i="1"/>
  <c r="I101" i="1"/>
  <c r="N100" i="1"/>
  <c r="K100" i="1"/>
  <c r="I100" i="1"/>
  <c r="J100" i="1" s="1"/>
  <c r="N99" i="1"/>
  <c r="K99" i="1"/>
  <c r="I99" i="1"/>
  <c r="J99" i="1" s="1"/>
  <c r="Q98" i="1"/>
  <c r="P98" i="1"/>
  <c r="O98" i="1"/>
  <c r="N98" i="1"/>
  <c r="M98" i="1"/>
  <c r="L98" i="1"/>
  <c r="K98" i="1"/>
  <c r="J98" i="1"/>
  <c r="I98" i="1"/>
  <c r="Q95" i="1"/>
  <c r="P95" i="1"/>
  <c r="O95" i="1"/>
  <c r="N95" i="1"/>
  <c r="M95" i="1"/>
  <c r="L95" i="1"/>
  <c r="K95" i="1"/>
  <c r="J95" i="1"/>
  <c r="I95" i="1"/>
  <c r="N94" i="1"/>
  <c r="K94" i="1"/>
  <c r="I94" i="1"/>
  <c r="J94" i="1" s="1"/>
  <c r="Q93" i="1"/>
  <c r="P93" i="1"/>
  <c r="O93" i="1"/>
  <c r="N93" i="1"/>
  <c r="M93" i="1"/>
  <c r="L93" i="1"/>
  <c r="K93" i="1"/>
  <c r="J93" i="1"/>
  <c r="I93" i="1"/>
  <c r="N92" i="1"/>
  <c r="K92" i="1"/>
  <c r="I92" i="1"/>
  <c r="J92" i="1" s="1"/>
  <c r="Q91" i="1"/>
  <c r="P91" i="1"/>
  <c r="O91" i="1"/>
  <c r="N91" i="1"/>
  <c r="M91" i="1"/>
  <c r="L91" i="1"/>
  <c r="K91" i="1"/>
  <c r="J91" i="1"/>
  <c r="I91" i="1"/>
  <c r="N90" i="1"/>
  <c r="K90" i="1"/>
  <c r="I90" i="1"/>
  <c r="J90" i="1" s="1"/>
  <c r="Q89" i="1"/>
  <c r="P89" i="1"/>
  <c r="O89" i="1"/>
  <c r="N89" i="1"/>
  <c r="M89" i="1"/>
  <c r="L89" i="1"/>
  <c r="K89" i="1"/>
  <c r="J89" i="1"/>
  <c r="I89" i="1"/>
  <c r="Q86" i="1"/>
  <c r="P86" i="1"/>
  <c r="O86" i="1"/>
  <c r="N86" i="1"/>
  <c r="M86" i="1"/>
  <c r="L86" i="1"/>
  <c r="K86" i="1"/>
  <c r="J86" i="1"/>
  <c r="I86" i="1"/>
  <c r="N85" i="1"/>
  <c r="K85" i="1"/>
  <c r="I85" i="1"/>
  <c r="J85" i="1" s="1"/>
  <c r="Q84" i="1"/>
  <c r="P84" i="1"/>
  <c r="O84" i="1"/>
  <c r="N84" i="1"/>
  <c r="M84" i="1"/>
  <c r="L84" i="1"/>
  <c r="K84" i="1"/>
  <c r="J84" i="1"/>
  <c r="I84" i="1"/>
  <c r="N83" i="1"/>
  <c r="K83" i="1"/>
  <c r="I83" i="1"/>
  <c r="J83" i="1" s="1"/>
  <c r="N82" i="1"/>
  <c r="K82" i="1"/>
  <c r="I82" i="1"/>
  <c r="J82" i="1" s="1"/>
  <c r="N81" i="1"/>
  <c r="K81" i="1"/>
  <c r="I81" i="1"/>
  <c r="J81" i="1" s="1"/>
  <c r="Q80" i="1"/>
  <c r="P80" i="1"/>
  <c r="O80" i="1"/>
  <c r="N80" i="1"/>
  <c r="M80" i="1"/>
  <c r="L80" i="1"/>
  <c r="K80" i="1"/>
  <c r="J80" i="1"/>
  <c r="I80" i="1"/>
  <c r="Q77" i="1"/>
  <c r="P77" i="1"/>
  <c r="O77" i="1"/>
  <c r="N77" i="1"/>
  <c r="M77" i="1"/>
  <c r="L77" i="1"/>
  <c r="K77" i="1"/>
  <c r="J77" i="1"/>
  <c r="I77" i="1"/>
  <c r="N75" i="1"/>
  <c r="K75" i="1"/>
  <c r="I75" i="1"/>
  <c r="J75" i="1" s="1"/>
  <c r="N74" i="1"/>
  <c r="K74" i="1"/>
  <c r="I74" i="1"/>
  <c r="J74" i="1" s="1"/>
  <c r="N73" i="1"/>
  <c r="K73" i="1"/>
  <c r="I73" i="1"/>
  <c r="J73" i="1" s="1"/>
  <c r="N72" i="1"/>
  <c r="K72" i="1"/>
  <c r="I72" i="1"/>
  <c r="J72" i="1" s="1"/>
  <c r="N71" i="1"/>
  <c r="K71" i="1"/>
  <c r="I71" i="1"/>
  <c r="J71" i="1" s="1"/>
  <c r="N67" i="1"/>
  <c r="K67" i="1"/>
  <c r="I67" i="1"/>
  <c r="J67" i="1" s="1"/>
  <c r="N63" i="1"/>
  <c r="K63" i="1"/>
  <c r="I63" i="1"/>
  <c r="J63" i="1" s="1"/>
  <c r="N62" i="1"/>
  <c r="K62" i="1"/>
  <c r="I62" i="1"/>
  <c r="J62" i="1" s="1"/>
  <c r="N61" i="1"/>
  <c r="K61" i="1"/>
  <c r="I61" i="1"/>
  <c r="J61" i="1" s="1"/>
  <c r="N60" i="1"/>
  <c r="K60" i="1"/>
  <c r="I60" i="1"/>
  <c r="J60" i="1" s="1"/>
  <c r="N59" i="1"/>
  <c r="K59" i="1"/>
  <c r="I59" i="1"/>
  <c r="J59" i="1" s="1"/>
  <c r="N58" i="1"/>
  <c r="K58" i="1"/>
  <c r="I58" i="1"/>
  <c r="J58" i="1" s="1"/>
  <c r="N57" i="1"/>
  <c r="K57" i="1"/>
  <c r="I57" i="1"/>
  <c r="J57" i="1" s="1"/>
  <c r="N56" i="1"/>
  <c r="K56" i="1"/>
  <c r="I56" i="1"/>
  <c r="J56" i="1" s="1"/>
  <c r="N55" i="1"/>
  <c r="K55" i="1"/>
  <c r="I55" i="1"/>
  <c r="J55" i="1" s="1"/>
  <c r="N54" i="1"/>
  <c r="K54" i="1"/>
  <c r="I54" i="1"/>
  <c r="J54" i="1" s="1"/>
  <c r="N53" i="1"/>
  <c r="K53" i="1"/>
  <c r="I53" i="1"/>
  <c r="J53" i="1" s="1"/>
  <c r="N52" i="1"/>
  <c r="K52" i="1"/>
  <c r="I52" i="1"/>
  <c r="J52" i="1" s="1"/>
  <c r="N51" i="1"/>
  <c r="K51" i="1"/>
  <c r="I51" i="1"/>
  <c r="J51" i="1" s="1"/>
  <c r="N50" i="1"/>
  <c r="K50" i="1"/>
  <c r="I50" i="1"/>
  <c r="J50" i="1" s="1"/>
  <c r="N49" i="1"/>
  <c r="K49" i="1"/>
  <c r="I49" i="1"/>
  <c r="J49" i="1" s="1"/>
  <c r="N48" i="1"/>
  <c r="K48" i="1"/>
  <c r="I48" i="1"/>
  <c r="J48" i="1" s="1"/>
  <c r="N47" i="1"/>
  <c r="K47" i="1"/>
  <c r="I47" i="1"/>
  <c r="J47" i="1" s="1"/>
  <c r="N46" i="1"/>
  <c r="K46" i="1"/>
  <c r="I46" i="1"/>
  <c r="J46" i="1" s="1"/>
  <c r="N45" i="1"/>
  <c r="K45" i="1"/>
  <c r="I45" i="1"/>
  <c r="J45" i="1" s="1"/>
  <c r="N44" i="1"/>
  <c r="K44" i="1"/>
  <c r="I44" i="1"/>
  <c r="J44" i="1" s="1"/>
  <c r="N43" i="1"/>
  <c r="K43" i="1"/>
  <c r="I43" i="1"/>
  <c r="J43" i="1" s="1"/>
  <c r="N42" i="1"/>
  <c r="K42" i="1"/>
  <c r="I42" i="1"/>
  <c r="J42" i="1" s="1"/>
  <c r="N41" i="1"/>
  <c r="K41" i="1"/>
  <c r="I41" i="1"/>
  <c r="J41" i="1" s="1"/>
  <c r="N40" i="1"/>
  <c r="K40" i="1"/>
  <c r="I40" i="1"/>
  <c r="J40" i="1" s="1"/>
  <c r="N39" i="1"/>
  <c r="K39" i="1"/>
  <c r="I39" i="1"/>
  <c r="J39" i="1" s="1"/>
  <c r="N38" i="1"/>
  <c r="K38" i="1"/>
  <c r="I38" i="1"/>
  <c r="J38" i="1" s="1"/>
  <c r="N37" i="1"/>
  <c r="K37" i="1"/>
  <c r="I37" i="1"/>
  <c r="J37" i="1" s="1"/>
  <c r="Q36" i="1"/>
  <c r="P36" i="1"/>
  <c r="O36" i="1"/>
  <c r="N36" i="1"/>
  <c r="M36" i="1"/>
  <c r="L36" i="1"/>
  <c r="K36" i="1"/>
  <c r="J36" i="1"/>
  <c r="I36" i="1"/>
  <c r="N28" i="1"/>
  <c r="K28" i="1"/>
  <c r="I28" i="1"/>
  <c r="J28" i="1" s="1"/>
  <c r="N27" i="1"/>
  <c r="K27" i="1"/>
  <c r="I27" i="1"/>
  <c r="J27" i="1" s="1"/>
  <c r="N26" i="1"/>
  <c r="K26" i="1"/>
  <c r="I26" i="1"/>
  <c r="J26" i="1" s="1"/>
  <c r="Q25" i="1"/>
  <c r="P25" i="1"/>
  <c r="O25" i="1"/>
  <c r="N25" i="1"/>
  <c r="M25" i="1"/>
  <c r="L25" i="1"/>
  <c r="K25" i="1"/>
  <c r="J25" i="1"/>
  <c r="I25" i="1"/>
  <c r="L85" i="1" l="1"/>
  <c r="O85" i="1"/>
  <c r="O580" i="1"/>
  <c r="L606" i="1"/>
  <c r="O606" i="1"/>
  <c r="L582" i="1"/>
  <c r="L580" i="1"/>
  <c r="O581" i="1"/>
  <c r="O582" i="1"/>
  <c r="L581" i="1"/>
  <c r="L254" i="1"/>
  <c r="O254" i="1"/>
  <c r="O126" i="1"/>
  <c r="L128" i="1"/>
  <c r="L126" i="1"/>
  <c r="O128" i="1"/>
  <c r="L114" i="1"/>
  <c r="O114" i="1"/>
  <c r="O109" i="1"/>
  <c r="L109" i="1"/>
  <c r="O152" i="1"/>
  <c r="L90" i="1"/>
  <c r="O90" i="1"/>
  <c r="O149" i="1"/>
  <c r="L83" i="1"/>
  <c r="O82" i="1"/>
  <c r="O135" i="1"/>
  <c r="O142" i="1"/>
  <c r="L149" i="1"/>
  <c r="L134" i="1"/>
  <c r="L142" i="1"/>
  <c r="L76" i="1"/>
  <c r="L133" i="1"/>
  <c r="L146" i="1"/>
  <c r="O76" i="1"/>
  <c r="L141" i="1"/>
  <c r="L143" i="1"/>
  <c r="O147" i="1"/>
  <c r="O239" i="1"/>
  <c r="O141" i="1"/>
  <c r="L145" i="1"/>
  <c r="L147" i="1"/>
  <c r="L245" i="1"/>
  <c r="O133" i="1"/>
  <c r="O134" i="1"/>
  <c r="O143" i="1"/>
  <c r="L152" i="1"/>
  <c r="O145" i="1"/>
  <c r="O245" i="1"/>
  <c r="L135" i="1"/>
  <c r="O146" i="1"/>
  <c r="L123" i="1"/>
  <c r="L235" i="1"/>
  <c r="L236" i="1"/>
  <c r="L75" i="1"/>
  <c r="O75" i="1"/>
  <c r="L82" i="1"/>
  <c r="O83" i="1"/>
  <c r="O123" i="1"/>
  <c r="L233" i="1"/>
  <c r="L239" i="1"/>
  <c r="O209" i="1"/>
  <c r="O228" i="1"/>
  <c r="O236" i="1"/>
  <c r="L238" i="1"/>
  <c r="O233" i="1"/>
  <c r="O234" i="1"/>
  <c r="L228" i="1"/>
  <c r="O235" i="1"/>
  <c r="O238" i="1"/>
  <c r="L234" i="1"/>
  <c r="L214" i="1"/>
  <c r="L220" i="1"/>
  <c r="L81" i="1"/>
  <c r="O214" i="1"/>
  <c r="L221" i="1"/>
  <c r="O221" i="1"/>
  <c r="O220" i="1"/>
  <c r="L219" i="1"/>
  <c r="O219" i="1"/>
  <c r="L209" i="1"/>
  <c r="O190" i="1"/>
  <c r="L204" i="1"/>
  <c r="L100" i="1"/>
  <c r="O203" i="1"/>
  <c r="L195" i="1"/>
  <c r="L197" i="1"/>
  <c r="L192" i="1"/>
  <c r="O192" i="1"/>
  <c r="L188" i="1"/>
  <c r="L191" i="1"/>
  <c r="O199" i="1"/>
  <c r="L211" i="1"/>
  <c r="L99" i="1"/>
  <c r="O122" i="1"/>
  <c r="O194" i="1"/>
  <c r="O195" i="1"/>
  <c r="O197" i="1"/>
  <c r="O202" i="1"/>
  <c r="L200" i="1"/>
  <c r="O188" i="1"/>
  <c r="O191" i="1"/>
  <c r="L199" i="1"/>
  <c r="L190" i="1"/>
  <c r="L194" i="1"/>
  <c r="L202" i="1"/>
  <c r="O200" i="1"/>
  <c r="O211" i="1"/>
  <c r="L247" i="1"/>
  <c r="O204" i="1"/>
  <c r="L203" i="1"/>
  <c r="O201" i="1"/>
  <c r="L201" i="1"/>
  <c r="O100" i="1"/>
  <c r="L122" i="1"/>
  <c r="O247" i="1"/>
  <c r="L249" i="1"/>
  <c r="O256" i="1"/>
  <c r="O99" i="1"/>
  <c r="L119" i="1"/>
  <c r="O151" i="1"/>
  <c r="O121" i="1"/>
  <c r="O81" i="1"/>
  <c r="O119" i="1"/>
  <c r="O249" i="1"/>
  <c r="L121" i="1"/>
  <c r="O74" i="1"/>
  <c r="L105" i="1"/>
  <c r="L74" i="1"/>
  <c r="O105" i="1"/>
  <c r="L151" i="1"/>
  <c r="L256" i="1"/>
  <c r="L92" i="1"/>
  <c r="L94" i="1"/>
  <c r="O94" i="1"/>
  <c r="O102" i="1"/>
  <c r="L260" i="1"/>
  <c r="L73" i="1"/>
  <c r="O213" i="1"/>
  <c r="L42" i="1"/>
  <c r="O72" i="1"/>
  <c r="O260" i="1"/>
  <c r="O261" i="1"/>
  <c r="L261" i="1"/>
  <c r="O92" i="1"/>
  <c r="L213" i="1"/>
  <c r="O42" i="1"/>
  <c r="L103" i="1"/>
  <c r="L608" i="1"/>
  <c r="L102" i="1"/>
  <c r="O103" i="1"/>
  <c r="O43" i="1"/>
  <c r="L49" i="1"/>
  <c r="L43" i="1"/>
  <c r="O49" i="1"/>
  <c r="O53" i="1"/>
  <c r="L67" i="1"/>
  <c r="O59" i="1"/>
  <c r="O61" i="1"/>
  <c r="O67" i="1"/>
  <c r="L72" i="1"/>
  <c r="O58" i="1"/>
  <c r="L60" i="1"/>
  <c r="L588" i="1"/>
  <c r="L47" i="1"/>
  <c r="L61" i="1"/>
  <c r="O38" i="1"/>
  <c r="O45" i="1"/>
  <c r="L45" i="1"/>
  <c r="O46" i="1"/>
  <c r="L54" i="1"/>
  <c r="O57" i="1"/>
  <c r="O60" i="1"/>
  <c r="O63" i="1"/>
  <c r="O611" i="1"/>
  <c r="O608" i="1"/>
  <c r="O55" i="1"/>
  <c r="O62" i="1"/>
  <c r="L38" i="1"/>
  <c r="O39" i="1"/>
  <c r="O47" i="1"/>
  <c r="L48" i="1"/>
  <c r="O51" i="1"/>
  <c r="O52" i="1"/>
  <c r="L55" i="1"/>
  <c r="L57" i="1"/>
  <c r="L58" i="1"/>
  <c r="L59" i="1"/>
  <c r="L62" i="1"/>
  <c r="L63" i="1"/>
  <c r="O590" i="1"/>
  <c r="O588" i="1"/>
  <c r="O37" i="1"/>
  <c r="L39" i="1"/>
  <c r="L40" i="1"/>
  <c r="L41" i="1"/>
  <c r="L46" i="1"/>
  <c r="L52" i="1"/>
  <c r="O54" i="1"/>
  <c r="O73" i="1"/>
  <c r="O56" i="1"/>
  <c r="L56" i="1"/>
  <c r="L53" i="1"/>
  <c r="L51" i="1"/>
  <c r="L50" i="1"/>
  <c r="O50" i="1"/>
  <c r="O48" i="1"/>
  <c r="L44" i="1"/>
  <c r="O44" i="1"/>
  <c r="O41" i="1"/>
  <c r="O40" i="1"/>
  <c r="O71" i="1"/>
  <c r="L71" i="1"/>
  <c r="L37" i="1"/>
  <c r="L590" i="1"/>
  <c r="L609" i="1"/>
  <c r="O609" i="1"/>
  <c r="L614" i="1"/>
  <c r="L27" i="1"/>
  <c r="L28" i="1"/>
  <c r="O615" i="1"/>
  <c r="L598" i="1"/>
  <c r="O614" i="1"/>
  <c r="L615" i="1"/>
  <c r="O603" i="1"/>
  <c r="L611" i="1"/>
  <c r="L603" i="1"/>
  <c r="L595" i="1"/>
  <c r="O598" i="1"/>
  <c r="O595" i="1"/>
  <c r="O601" i="1"/>
  <c r="O602" i="1"/>
  <c r="L602" i="1"/>
  <c r="L596" i="1"/>
  <c r="O28" i="1"/>
  <c r="O27" i="1"/>
  <c r="O596" i="1"/>
  <c r="O597" i="1"/>
  <c r="L597" i="1"/>
  <c r="L601" i="1"/>
  <c r="O26" i="1"/>
  <c r="L26" i="1"/>
  <c r="K23" i="1"/>
  <c r="D5" i="2" s="1"/>
  <c r="Q23" i="1"/>
  <c r="Q87" i="1" l="1"/>
  <c r="K87" i="1"/>
  <c r="K154" i="1"/>
  <c r="Q154" i="1"/>
  <c r="Q251" i="1"/>
  <c r="K251" i="1"/>
  <c r="K130" i="1"/>
  <c r="Q111" i="1"/>
  <c r="Q130" i="1"/>
  <c r="K96" i="1"/>
  <c r="Q230" i="1"/>
  <c r="K230" i="1"/>
  <c r="Q96" i="1"/>
  <c r="K263" i="1"/>
  <c r="Q263" i="1"/>
  <c r="K111" i="1"/>
  <c r="K592" i="1"/>
  <c r="Q592" i="1"/>
  <c r="Q617" i="1"/>
  <c r="K617" i="1"/>
  <c r="K78" i="1"/>
  <c r="Q78" i="1"/>
  <c r="F5" i="2"/>
  <c r="Q112" i="1"/>
  <c r="P112" i="1"/>
  <c r="O112" i="1"/>
  <c r="N112" i="1"/>
  <c r="M112" i="1"/>
  <c r="L112" i="1"/>
  <c r="K112" i="1"/>
  <c r="J112" i="1"/>
  <c r="I112" i="1"/>
  <c r="R621" i="1" l="1"/>
  <c r="K116" i="1"/>
  <c r="D10" i="2" s="1"/>
  <c r="K619" i="1"/>
  <c r="R623" i="1"/>
  <c r="Q116" i="1"/>
  <c r="Q619" i="1"/>
  <c r="D11" i="2"/>
  <c r="D14" i="2"/>
  <c r="D9" i="2"/>
  <c r="D15" i="2"/>
  <c r="D20" i="2"/>
  <c r="D21" i="2"/>
  <c r="D12" i="2"/>
  <c r="D8" i="2" l="1"/>
  <c r="D7" i="2"/>
  <c r="L29" i="2" l="1"/>
  <c r="F8" i="2" l="1"/>
  <c r="F7" i="2"/>
  <c r="F10" i="2" l="1"/>
  <c r="F20" i="2"/>
  <c r="F11" i="2"/>
  <c r="F21" i="2" l="1"/>
  <c r="D6" i="2" l="1"/>
  <c r="F14" i="2" l="1"/>
  <c r="F9" i="2" l="1"/>
  <c r="F6" i="2"/>
  <c r="F15" i="2"/>
  <c r="L27" i="2" l="1"/>
  <c r="D13" i="2"/>
  <c r="D23" i="2" s="1"/>
  <c r="E27" i="2" s="1"/>
  <c r="F12" i="2" l="1"/>
  <c r="L28" i="2" l="1"/>
  <c r="E28" i="2"/>
  <c r="F13" i="2" l="1"/>
  <c r="F23" i="2" s="1"/>
  <c r="L33" i="2" l="1"/>
  <c r="L34" i="2" s="1"/>
  <c r="M7" i="1" s="1"/>
  <c r="M606" i="1" l="1"/>
  <c r="P606" i="1" s="1"/>
  <c r="Q606" i="1" s="1"/>
  <c r="M85" i="1"/>
  <c r="P85" i="1" s="1"/>
  <c r="Q85" i="1" s="1"/>
  <c r="M580" i="1"/>
  <c r="P580" i="1" s="1"/>
  <c r="Q580" i="1" s="1"/>
  <c r="M581" i="1"/>
  <c r="P581" i="1" s="1"/>
  <c r="Q581" i="1" s="1"/>
  <c r="M582" i="1"/>
  <c r="P582" i="1" s="1"/>
  <c r="Q582" i="1" s="1"/>
  <c r="M483" i="1"/>
  <c r="P483" i="1" s="1"/>
  <c r="Q483" i="1" s="1"/>
  <c r="M463" i="1"/>
  <c r="P463" i="1" s="1"/>
  <c r="Q463" i="1" s="1"/>
  <c r="M461" i="1"/>
  <c r="P461" i="1" s="1"/>
  <c r="Q461" i="1" s="1"/>
  <c r="M459" i="1"/>
  <c r="P459" i="1" s="1"/>
  <c r="Q459" i="1" s="1"/>
  <c r="M457" i="1"/>
  <c r="P457" i="1" s="1"/>
  <c r="Q457" i="1" s="1"/>
  <c r="M455" i="1"/>
  <c r="P455" i="1" s="1"/>
  <c r="Q455" i="1" s="1"/>
  <c r="M453" i="1"/>
  <c r="P453" i="1" s="1"/>
  <c r="Q453" i="1" s="1"/>
  <c r="M451" i="1"/>
  <c r="P451" i="1" s="1"/>
  <c r="Q451" i="1" s="1"/>
  <c r="M449" i="1"/>
  <c r="P449" i="1" s="1"/>
  <c r="Q449" i="1" s="1"/>
  <c r="M447" i="1"/>
  <c r="P447" i="1" s="1"/>
  <c r="Q447" i="1" s="1"/>
  <c r="M445" i="1"/>
  <c r="P445" i="1" s="1"/>
  <c r="Q445" i="1" s="1"/>
  <c r="M443" i="1"/>
  <c r="P443" i="1" s="1"/>
  <c r="Q443" i="1" s="1"/>
  <c r="M467" i="1"/>
  <c r="P467" i="1" s="1"/>
  <c r="Q467" i="1" s="1"/>
  <c r="M480" i="1"/>
  <c r="P480" i="1" s="1"/>
  <c r="Q480" i="1" s="1"/>
  <c r="M478" i="1"/>
  <c r="P478" i="1" s="1"/>
  <c r="Q478" i="1" s="1"/>
  <c r="M476" i="1"/>
  <c r="P476" i="1" s="1"/>
  <c r="Q476" i="1" s="1"/>
  <c r="M474" i="1"/>
  <c r="P474" i="1" s="1"/>
  <c r="Q474" i="1" s="1"/>
  <c r="M472" i="1"/>
  <c r="P472" i="1" s="1"/>
  <c r="Q472" i="1" s="1"/>
  <c r="M470" i="1"/>
  <c r="P470" i="1" s="1"/>
  <c r="Q470" i="1" s="1"/>
  <c r="M468" i="1"/>
  <c r="P468" i="1" s="1"/>
  <c r="Q468" i="1" s="1"/>
  <c r="M479" i="1"/>
  <c r="P479" i="1" s="1"/>
  <c r="Q479" i="1" s="1"/>
  <c r="M477" i="1"/>
  <c r="P477" i="1" s="1"/>
  <c r="Q477" i="1" s="1"/>
  <c r="M475" i="1"/>
  <c r="P475" i="1" s="1"/>
  <c r="Q475" i="1" s="1"/>
  <c r="M473" i="1"/>
  <c r="P473" i="1" s="1"/>
  <c r="Q473" i="1" s="1"/>
  <c r="M471" i="1"/>
  <c r="P471" i="1" s="1"/>
  <c r="Q471" i="1" s="1"/>
  <c r="M469" i="1"/>
  <c r="P469" i="1" s="1"/>
  <c r="Q469" i="1" s="1"/>
  <c r="M462" i="1"/>
  <c r="P462" i="1" s="1"/>
  <c r="Q462" i="1" s="1"/>
  <c r="M450" i="1"/>
  <c r="P450" i="1" s="1"/>
  <c r="Q450" i="1" s="1"/>
  <c r="M446" i="1"/>
  <c r="P446" i="1" s="1"/>
  <c r="Q446" i="1" s="1"/>
  <c r="M460" i="1"/>
  <c r="P460" i="1" s="1"/>
  <c r="Q460" i="1" s="1"/>
  <c r="M456" i="1"/>
  <c r="P456" i="1" s="1"/>
  <c r="Q456" i="1" s="1"/>
  <c r="M452" i="1"/>
  <c r="P452" i="1" s="1"/>
  <c r="Q452" i="1" s="1"/>
  <c r="M448" i="1"/>
  <c r="P448" i="1" s="1"/>
  <c r="Q448" i="1" s="1"/>
  <c r="M444" i="1"/>
  <c r="P444" i="1" s="1"/>
  <c r="Q444" i="1" s="1"/>
  <c r="M466" i="1"/>
  <c r="P466" i="1" s="1"/>
  <c r="Q466" i="1" s="1"/>
  <c r="M458" i="1"/>
  <c r="P458" i="1" s="1"/>
  <c r="Q458" i="1" s="1"/>
  <c r="M454" i="1"/>
  <c r="P454" i="1" s="1"/>
  <c r="Q454" i="1" s="1"/>
  <c r="M575" i="1"/>
  <c r="P575" i="1" s="1"/>
  <c r="Q575" i="1" s="1"/>
  <c r="M573" i="1"/>
  <c r="P573" i="1" s="1"/>
  <c r="Q573" i="1" s="1"/>
  <c r="M569" i="1"/>
  <c r="P569" i="1" s="1"/>
  <c r="Q569" i="1" s="1"/>
  <c r="M565" i="1"/>
  <c r="P565" i="1" s="1"/>
  <c r="Q565" i="1" s="1"/>
  <c r="M563" i="1"/>
  <c r="P563" i="1" s="1"/>
  <c r="Q563" i="1" s="1"/>
  <c r="M561" i="1"/>
  <c r="P561" i="1" s="1"/>
  <c r="Q561" i="1" s="1"/>
  <c r="M559" i="1"/>
  <c r="P559" i="1" s="1"/>
  <c r="Q559" i="1" s="1"/>
  <c r="M551" i="1"/>
  <c r="P551" i="1" s="1"/>
  <c r="Q551" i="1" s="1"/>
  <c r="M547" i="1"/>
  <c r="P547" i="1" s="1"/>
  <c r="Q547" i="1" s="1"/>
  <c r="M545" i="1"/>
  <c r="P545" i="1" s="1"/>
  <c r="Q545" i="1" s="1"/>
  <c r="M543" i="1"/>
  <c r="P543" i="1" s="1"/>
  <c r="Q543" i="1" s="1"/>
  <c r="M541" i="1"/>
  <c r="P541" i="1" s="1"/>
  <c r="Q541" i="1" s="1"/>
  <c r="M538" i="1"/>
  <c r="P538" i="1" s="1"/>
  <c r="Q538" i="1" s="1"/>
  <c r="M534" i="1"/>
  <c r="P534" i="1" s="1"/>
  <c r="Q534" i="1" s="1"/>
  <c r="M532" i="1"/>
  <c r="P532" i="1" s="1"/>
  <c r="Q532" i="1" s="1"/>
  <c r="M530" i="1"/>
  <c r="P530" i="1" s="1"/>
  <c r="Q530" i="1" s="1"/>
  <c r="M528" i="1"/>
  <c r="P528" i="1" s="1"/>
  <c r="Q528" i="1" s="1"/>
  <c r="M526" i="1"/>
  <c r="P526" i="1" s="1"/>
  <c r="Q526" i="1" s="1"/>
  <c r="M524" i="1"/>
  <c r="P524" i="1" s="1"/>
  <c r="Q524" i="1" s="1"/>
  <c r="M522" i="1"/>
  <c r="P522" i="1" s="1"/>
  <c r="Q522" i="1" s="1"/>
  <c r="M520" i="1"/>
  <c r="P520" i="1" s="1"/>
  <c r="Q520" i="1" s="1"/>
  <c r="M515" i="1"/>
  <c r="P515" i="1" s="1"/>
  <c r="Q515" i="1" s="1"/>
  <c r="M513" i="1"/>
  <c r="P513" i="1" s="1"/>
  <c r="Q513" i="1" s="1"/>
  <c r="M509" i="1"/>
  <c r="P509" i="1" s="1"/>
  <c r="Q509" i="1" s="1"/>
  <c r="M503" i="1"/>
  <c r="P503" i="1" s="1"/>
  <c r="Q503" i="1" s="1"/>
  <c r="M497" i="1"/>
  <c r="P497" i="1" s="1"/>
  <c r="Q497" i="1" s="1"/>
  <c r="M546" i="1"/>
  <c r="P546" i="1" s="1"/>
  <c r="Q546" i="1" s="1"/>
  <c r="M531" i="1"/>
  <c r="P531" i="1" s="1"/>
  <c r="Q531" i="1" s="1"/>
  <c r="M523" i="1"/>
  <c r="P523" i="1" s="1"/>
  <c r="Q523" i="1" s="1"/>
  <c r="M502" i="1"/>
  <c r="P502" i="1" s="1"/>
  <c r="Q502" i="1" s="1"/>
  <c r="M499" i="1"/>
  <c r="P499" i="1" s="1"/>
  <c r="Q499" i="1" s="1"/>
  <c r="M498" i="1"/>
  <c r="P498" i="1" s="1"/>
  <c r="Q498" i="1" s="1"/>
  <c r="M525" i="1"/>
  <c r="P525" i="1" s="1"/>
  <c r="Q525" i="1" s="1"/>
  <c r="M574" i="1"/>
  <c r="P574" i="1" s="1"/>
  <c r="Q574" i="1" s="1"/>
  <c r="M564" i="1"/>
  <c r="P564" i="1" s="1"/>
  <c r="Q564" i="1" s="1"/>
  <c r="M560" i="1"/>
  <c r="P560" i="1" s="1"/>
  <c r="Q560" i="1" s="1"/>
  <c r="M544" i="1"/>
  <c r="P544" i="1" s="1"/>
  <c r="Q544" i="1" s="1"/>
  <c r="M529" i="1"/>
  <c r="P529" i="1" s="1"/>
  <c r="Q529" i="1" s="1"/>
  <c r="M521" i="1"/>
  <c r="P521" i="1" s="1"/>
  <c r="Q521" i="1" s="1"/>
  <c r="M516" i="1"/>
  <c r="P516" i="1" s="1"/>
  <c r="Q516" i="1" s="1"/>
  <c r="M508" i="1"/>
  <c r="P508" i="1" s="1"/>
  <c r="Q508" i="1" s="1"/>
  <c r="M507" i="1"/>
  <c r="P507" i="1" s="1"/>
  <c r="Q507" i="1" s="1"/>
  <c r="M506" i="1"/>
  <c r="P506" i="1" s="1"/>
  <c r="Q506" i="1" s="1"/>
  <c r="M494" i="1"/>
  <c r="P494" i="1" s="1"/>
  <c r="Q494" i="1" s="1"/>
  <c r="M493" i="1"/>
  <c r="P493" i="1" s="1"/>
  <c r="Q493" i="1" s="1"/>
  <c r="M555" i="1"/>
  <c r="P555" i="1" s="1"/>
  <c r="Q555" i="1" s="1"/>
  <c r="M542" i="1"/>
  <c r="P542" i="1" s="1"/>
  <c r="Q542" i="1" s="1"/>
  <c r="M527" i="1"/>
  <c r="P527" i="1" s="1"/>
  <c r="Q527" i="1" s="1"/>
  <c r="M519" i="1"/>
  <c r="P519" i="1" s="1"/>
  <c r="Q519" i="1" s="1"/>
  <c r="M514" i="1"/>
  <c r="P514" i="1" s="1"/>
  <c r="Q514" i="1" s="1"/>
  <c r="M488" i="1"/>
  <c r="P488" i="1" s="1"/>
  <c r="Q488" i="1" s="1"/>
  <c r="M570" i="1"/>
  <c r="P570" i="1" s="1"/>
  <c r="Q570" i="1" s="1"/>
  <c r="M562" i="1"/>
  <c r="P562" i="1" s="1"/>
  <c r="Q562" i="1" s="1"/>
  <c r="M556" i="1"/>
  <c r="P556" i="1" s="1"/>
  <c r="Q556" i="1" s="1"/>
  <c r="M548" i="1"/>
  <c r="P548" i="1" s="1"/>
  <c r="Q548" i="1" s="1"/>
  <c r="M533" i="1"/>
  <c r="P533" i="1" s="1"/>
  <c r="Q533" i="1" s="1"/>
  <c r="M489" i="1"/>
  <c r="P489" i="1" s="1"/>
  <c r="Q489" i="1" s="1"/>
  <c r="M487" i="1"/>
  <c r="P487" i="1" s="1"/>
  <c r="M365" i="1"/>
  <c r="P365" i="1" s="1"/>
  <c r="Q365" i="1" s="1"/>
  <c r="M362" i="1"/>
  <c r="P362" i="1" s="1"/>
  <c r="Q362" i="1" s="1"/>
  <c r="M358" i="1"/>
  <c r="P358" i="1" s="1"/>
  <c r="Q358" i="1" s="1"/>
  <c r="M356" i="1"/>
  <c r="P356" i="1" s="1"/>
  <c r="Q356" i="1" s="1"/>
  <c r="M354" i="1"/>
  <c r="P354" i="1" s="1"/>
  <c r="Q354" i="1" s="1"/>
  <c r="M352" i="1"/>
  <c r="P352" i="1" s="1"/>
  <c r="Q352" i="1" s="1"/>
  <c r="M348" i="1"/>
  <c r="P348" i="1" s="1"/>
  <c r="Q348" i="1" s="1"/>
  <c r="M364" i="1"/>
  <c r="P364" i="1" s="1"/>
  <c r="Q364" i="1" s="1"/>
  <c r="M353" i="1"/>
  <c r="P353" i="1" s="1"/>
  <c r="Q353" i="1" s="1"/>
  <c r="M347" i="1"/>
  <c r="P347" i="1" s="1"/>
  <c r="Q347" i="1" s="1"/>
  <c r="M361" i="1"/>
  <c r="P361" i="1" s="1"/>
  <c r="Q361" i="1" s="1"/>
  <c r="M357" i="1"/>
  <c r="P357" i="1" s="1"/>
  <c r="Q357" i="1" s="1"/>
  <c r="M355" i="1"/>
  <c r="P355" i="1" s="1"/>
  <c r="Q355" i="1" s="1"/>
  <c r="M349" i="1"/>
  <c r="P349" i="1" s="1"/>
  <c r="Q349" i="1" s="1"/>
  <c r="M438" i="1"/>
  <c r="P438" i="1" s="1"/>
  <c r="Q438" i="1" s="1"/>
  <c r="M436" i="1"/>
  <c r="P436" i="1" s="1"/>
  <c r="Q436" i="1" s="1"/>
  <c r="M434" i="1"/>
  <c r="P434" i="1" s="1"/>
  <c r="Q434" i="1" s="1"/>
  <c r="M432" i="1"/>
  <c r="P432" i="1" s="1"/>
  <c r="Q432" i="1" s="1"/>
  <c r="M426" i="1"/>
  <c r="P426" i="1" s="1"/>
  <c r="Q426" i="1" s="1"/>
  <c r="M424" i="1"/>
  <c r="P424" i="1" s="1"/>
  <c r="Q424" i="1" s="1"/>
  <c r="M422" i="1"/>
  <c r="P422" i="1" s="1"/>
  <c r="Q422" i="1" s="1"/>
  <c r="M406" i="1"/>
  <c r="P406" i="1" s="1"/>
  <c r="Q406" i="1" s="1"/>
  <c r="M402" i="1"/>
  <c r="P402" i="1" s="1"/>
  <c r="Q402" i="1" s="1"/>
  <c r="M398" i="1"/>
  <c r="P398" i="1" s="1"/>
  <c r="Q398" i="1" s="1"/>
  <c r="M394" i="1"/>
  <c r="P394" i="1" s="1"/>
  <c r="Q394" i="1" s="1"/>
  <c r="M390" i="1"/>
  <c r="P390" i="1" s="1"/>
  <c r="Q390" i="1" s="1"/>
  <c r="M386" i="1"/>
  <c r="P386" i="1" s="1"/>
  <c r="Q386" i="1" s="1"/>
  <c r="M379" i="1"/>
  <c r="P379" i="1" s="1"/>
  <c r="Q379" i="1" s="1"/>
  <c r="M375" i="1"/>
  <c r="P375" i="1" s="1"/>
  <c r="Q375" i="1" s="1"/>
  <c r="M369" i="1"/>
  <c r="P369" i="1" s="1"/>
  <c r="M416" i="1"/>
  <c r="P416" i="1" s="1"/>
  <c r="Q416" i="1" s="1"/>
  <c r="M401" i="1"/>
  <c r="P401" i="1" s="1"/>
  <c r="Q401" i="1" s="1"/>
  <c r="M397" i="1"/>
  <c r="P397" i="1" s="1"/>
  <c r="Q397" i="1" s="1"/>
  <c r="M393" i="1"/>
  <c r="P393" i="1" s="1"/>
  <c r="Q393" i="1" s="1"/>
  <c r="M389" i="1"/>
  <c r="P389" i="1" s="1"/>
  <c r="Q389" i="1" s="1"/>
  <c r="M382" i="1"/>
  <c r="P382" i="1" s="1"/>
  <c r="Q382" i="1" s="1"/>
  <c r="M378" i="1"/>
  <c r="P378" i="1" s="1"/>
  <c r="Q378" i="1" s="1"/>
  <c r="M374" i="1"/>
  <c r="P374" i="1" s="1"/>
  <c r="Q374" i="1" s="1"/>
  <c r="M437" i="1"/>
  <c r="P437" i="1" s="1"/>
  <c r="Q437" i="1" s="1"/>
  <c r="M435" i="1"/>
  <c r="P435" i="1" s="1"/>
  <c r="Q435" i="1" s="1"/>
  <c r="M433" i="1"/>
  <c r="P433" i="1" s="1"/>
  <c r="Q433" i="1" s="1"/>
  <c r="M429" i="1"/>
  <c r="P429" i="1" s="1"/>
  <c r="Q429" i="1" s="1"/>
  <c r="M425" i="1"/>
  <c r="P425" i="1" s="1"/>
  <c r="Q425" i="1" s="1"/>
  <c r="M423" i="1"/>
  <c r="P423" i="1" s="1"/>
  <c r="Q423" i="1" s="1"/>
  <c r="M415" i="1"/>
  <c r="P415" i="1" s="1"/>
  <c r="Q415" i="1" s="1"/>
  <c r="M407" i="1"/>
  <c r="P407" i="1" s="1"/>
  <c r="Q407" i="1" s="1"/>
  <c r="M400" i="1"/>
  <c r="P400" i="1" s="1"/>
  <c r="Q400" i="1" s="1"/>
  <c r="M392" i="1"/>
  <c r="P392" i="1" s="1"/>
  <c r="Q392" i="1" s="1"/>
  <c r="M381" i="1"/>
  <c r="P381" i="1" s="1"/>
  <c r="Q381" i="1" s="1"/>
  <c r="M373" i="1"/>
  <c r="P373" i="1" s="1"/>
  <c r="Q373" i="1" s="1"/>
  <c r="M396" i="1"/>
  <c r="P396" i="1" s="1"/>
  <c r="Q396" i="1" s="1"/>
  <c r="M399" i="1"/>
  <c r="P399" i="1" s="1"/>
  <c r="Q399" i="1" s="1"/>
  <c r="M370" i="1"/>
  <c r="P370" i="1" s="1"/>
  <c r="Q370" i="1" s="1"/>
  <c r="M411" i="1"/>
  <c r="P411" i="1" s="1"/>
  <c r="Q411" i="1" s="1"/>
  <c r="M403" i="1"/>
  <c r="P403" i="1" s="1"/>
  <c r="Q403" i="1" s="1"/>
  <c r="M395" i="1"/>
  <c r="P395" i="1" s="1"/>
  <c r="Q395" i="1" s="1"/>
  <c r="M387" i="1"/>
  <c r="P387" i="1" s="1"/>
  <c r="Q387" i="1" s="1"/>
  <c r="M376" i="1"/>
  <c r="P376" i="1" s="1"/>
  <c r="Q376" i="1" s="1"/>
  <c r="M388" i="1"/>
  <c r="P388" i="1" s="1"/>
  <c r="Q388" i="1" s="1"/>
  <c r="M377" i="1"/>
  <c r="P377" i="1" s="1"/>
  <c r="Q377" i="1" s="1"/>
  <c r="M391" i="1"/>
  <c r="P391" i="1" s="1"/>
  <c r="Q391" i="1" s="1"/>
  <c r="M380" i="1"/>
  <c r="P380" i="1" s="1"/>
  <c r="Q380" i="1" s="1"/>
  <c r="M419" i="1"/>
  <c r="P419" i="1" s="1"/>
  <c r="Q419" i="1" s="1"/>
  <c r="M274" i="1"/>
  <c r="P274" i="1" s="1"/>
  <c r="Q274" i="1" s="1"/>
  <c r="M272" i="1"/>
  <c r="P272" i="1" s="1"/>
  <c r="Q272" i="1" s="1"/>
  <c r="M273" i="1"/>
  <c r="P273" i="1" s="1"/>
  <c r="Q273" i="1" s="1"/>
  <c r="M271" i="1"/>
  <c r="P271" i="1" s="1"/>
  <c r="Q271" i="1" s="1"/>
  <c r="M266" i="1"/>
  <c r="P266" i="1" s="1"/>
  <c r="Q266" i="1" s="1"/>
  <c r="R268" i="1" s="1"/>
  <c r="M336" i="1"/>
  <c r="P336" i="1" s="1"/>
  <c r="Q336" i="1" s="1"/>
  <c r="M334" i="1"/>
  <c r="P334" i="1" s="1"/>
  <c r="Q334" i="1" s="1"/>
  <c r="M332" i="1"/>
  <c r="P332" i="1" s="1"/>
  <c r="Q332" i="1" s="1"/>
  <c r="M329" i="1"/>
  <c r="P329" i="1" s="1"/>
  <c r="Q329" i="1" s="1"/>
  <c r="M327" i="1"/>
  <c r="P327" i="1" s="1"/>
  <c r="Q327" i="1" s="1"/>
  <c r="M323" i="1"/>
  <c r="P323" i="1" s="1"/>
  <c r="Q323" i="1" s="1"/>
  <c r="M321" i="1"/>
  <c r="P321" i="1" s="1"/>
  <c r="Q321" i="1" s="1"/>
  <c r="M318" i="1"/>
  <c r="P318" i="1" s="1"/>
  <c r="Q318" i="1" s="1"/>
  <c r="M313" i="1"/>
  <c r="P313" i="1" s="1"/>
  <c r="Q313" i="1" s="1"/>
  <c r="M309" i="1"/>
  <c r="P309" i="1" s="1"/>
  <c r="Q309" i="1" s="1"/>
  <c r="M305" i="1"/>
  <c r="P305" i="1" s="1"/>
  <c r="Q305" i="1" s="1"/>
  <c r="M301" i="1"/>
  <c r="P301" i="1" s="1"/>
  <c r="Q301" i="1" s="1"/>
  <c r="M292" i="1"/>
  <c r="P292" i="1" s="1"/>
  <c r="Q292" i="1" s="1"/>
  <c r="M281" i="1"/>
  <c r="P281" i="1" s="1"/>
  <c r="Q281" i="1" s="1"/>
  <c r="M277" i="1"/>
  <c r="P277" i="1" s="1"/>
  <c r="M328" i="1"/>
  <c r="P328" i="1" s="1"/>
  <c r="Q328" i="1" s="1"/>
  <c r="M299" i="1"/>
  <c r="P299" i="1" s="1"/>
  <c r="Q299" i="1" s="1"/>
  <c r="M317" i="1"/>
  <c r="P317" i="1" s="1"/>
  <c r="Q317" i="1" s="1"/>
  <c r="M312" i="1"/>
  <c r="P312" i="1" s="1"/>
  <c r="Q312" i="1" s="1"/>
  <c r="M308" i="1"/>
  <c r="P308" i="1" s="1"/>
  <c r="Q308" i="1" s="1"/>
  <c r="M304" i="1"/>
  <c r="P304" i="1" s="1"/>
  <c r="Q304" i="1" s="1"/>
  <c r="M300" i="1"/>
  <c r="P300" i="1" s="1"/>
  <c r="Q300" i="1" s="1"/>
  <c r="M291" i="1"/>
  <c r="P291" i="1" s="1"/>
  <c r="Q291" i="1" s="1"/>
  <c r="M280" i="1"/>
  <c r="P280" i="1" s="1"/>
  <c r="Q280" i="1" s="1"/>
  <c r="M339" i="1"/>
  <c r="P339" i="1" s="1"/>
  <c r="Q339" i="1" s="1"/>
  <c r="M335" i="1"/>
  <c r="P335" i="1" s="1"/>
  <c r="Q335" i="1" s="1"/>
  <c r="M333" i="1"/>
  <c r="P333" i="1" s="1"/>
  <c r="Q333" i="1" s="1"/>
  <c r="M324" i="1"/>
  <c r="P324" i="1" s="1"/>
  <c r="Q324" i="1" s="1"/>
  <c r="M322" i="1"/>
  <c r="P322" i="1" s="1"/>
  <c r="Q322" i="1" s="1"/>
  <c r="M307" i="1"/>
  <c r="P307" i="1" s="1"/>
  <c r="Q307" i="1" s="1"/>
  <c r="M303" i="1"/>
  <c r="P303" i="1" s="1"/>
  <c r="Q303" i="1" s="1"/>
  <c r="M294" i="1"/>
  <c r="P294" i="1" s="1"/>
  <c r="Q294" i="1" s="1"/>
  <c r="M290" i="1"/>
  <c r="P290" i="1" s="1"/>
  <c r="Q290" i="1" s="1"/>
  <c r="M306" i="1"/>
  <c r="P306" i="1" s="1"/>
  <c r="Q306" i="1" s="1"/>
  <c r="M293" i="1"/>
  <c r="P293" i="1" s="1"/>
  <c r="Q293" i="1" s="1"/>
  <c r="M279" i="1"/>
  <c r="P279" i="1" s="1"/>
  <c r="Q279" i="1" s="1"/>
  <c r="M298" i="1"/>
  <c r="P298" i="1" s="1"/>
  <c r="Q298" i="1" s="1"/>
  <c r="M278" i="1"/>
  <c r="P278" i="1" s="1"/>
  <c r="Q278" i="1" s="1"/>
  <c r="M302" i="1"/>
  <c r="P302" i="1" s="1"/>
  <c r="Q302" i="1" s="1"/>
  <c r="M289" i="1"/>
  <c r="P289" i="1" s="1"/>
  <c r="Q289" i="1" s="1"/>
  <c r="M282" i="1"/>
  <c r="P282" i="1" s="1"/>
  <c r="Q282" i="1" s="1"/>
  <c r="M286" i="1"/>
  <c r="P286" i="1" s="1"/>
  <c r="Q286" i="1" s="1"/>
  <c r="M222" i="1"/>
  <c r="P222" i="1" s="1"/>
  <c r="Q222" i="1" s="1"/>
  <c r="M254" i="1"/>
  <c r="P254" i="1" s="1"/>
  <c r="Q254" i="1" s="1"/>
  <c r="M114" i="1"/>
  <c r="P114" i="1" s="1"/>
  <c r="Q114" i="1" s="1"/>
  <c r="R116" i="1" s="1"/>
  <c r="M128" i="1"/>
  <c r="P128" i="1" s="1"/>
  <c r="Q128" i="1" s="1"/>
  <c r="M126" i="1"/>
  <c r="P126" i="1" s="1"/>
  <c r="Q126" i="1" s="1"/>
  <c r="M104" i="1"/>
  <c r="P104" i="1" s="1"/>
  <c r="Q104" i="1" s="1"/>
  <c r="M109" i="1"/>
  <c r="P109" i="1" s="1"/>
  <c r="Q109" i="1" s="1"/>
  <c r="M21" i="1"/>
  <c r="P21" i="1" s="1"/>
  <c r="Q21" i="1" s="1"/>
  <c r="M90" i="1"/>
  <c r="P90" i="1" s="1"/>
  <c r="Q90" i="1" s="1"/>
  <c r="M139" i="1"/>
  <c r="P139" i="1" s="1"/>
  <c r="Q139" i="1" s="1"/>
  <c r="M149" i="1"/>
  <c r="P149" i="1" s="1"/>
  <c r="Q149" i="1" s="1"/>
  <c r="M76" i="1"/>
  <c r="P76" i="1" s="1"/>
  <c r="Q76" i="1" s="1"/>
  <c r="M138" i="1"/>
  <c r="P138" i="1" s="1"/>
  <c r="Q138" i="1" s="1"/>
  <c r="M137" i="1"/>
  <c r="P137" i="1" s="1"/>
  <c r="Q137" i="1" s="1"/>
  <c r="M136" i="1"/>
  <c r="P136" i="1" s="1"/>
  <c r="Q136" i="1" s="1"/>
  <c r="M124" i="1"/>
  <c r="P124" i="1" s="1"/>
  <c r="Q124" i="1" s="1"/>
  <c r="M245" i="1"/>
  <c r="P245" i="1" s="1"/>
  <c r="Q245" i="1" s="1"/>
  <c r="M147" i="1"/>
  <c r="P147" i="1" s="1"/>
  <c r="Q147" i="1" s="1"/>
  <c r="M146" i="1"/>
  <c r="P146" i="1" s="1"/>
  <c r="Q146" i="1" s="1"/>
  <c r="M145" i="1"/>
  <c r="P145" i="1" s="1"/>
  <c r="Q145" i="1" s="1"/>
  <c r="M143" i="1"/>
  <c r="P143" i="1" s="1"/>
  <c r="Q143" i="1" s="1"/>
  <c r="M135" i="1"/>
  <c r="P135" i="1" s="1"/>
  <c r="Q135" i="1" s="1"/>
  <c r="M134" i="1"/>
  <c r="P134" i="1" s="1"/>
  <c r="Q134" i="1" s="1"/>
  <c r="M133" i="1"/>
  <c r="P133" i="1" s="1"/>
  <c r="Q133" i="1" s="1"/>
  <c r="M152" i="1"/>
  <c r="P152" i="1" s="1"/>
  <c r="Q152" i="1" s="1"/>
  <c r="M142" i="1"/>
  <c r="P142" i="1" s="1"/>
  <c r="Q142" i="1" s="1"/>
  <c r="M141" i="1"/>
  <c r="P141" i="1" s="1"/>
  <c r="Q141" i="1" s="1"/>
  <c r="M242" i="1"/>
  <c r="P242" i="1" s="1"/>
  <c r="Q242" i="1" s="1"/>
  <c r="M241" i="1"/>
  <c r="P241" i="1" s="1"/>
  <c r="Q241" i="1" s="1"/>
  <c r="M240" i="1"/>
  <c r="P240" i="1" s="1"/>
  <c r="Q240" i="1" s="1"/>
  <c r="M243" i="1"/>
  <c r="P243" i="1" s="1"/>
  <c r="Q243" i="1" s="1"/>
  <c r="M239" i="1"/>
  <c r="P239" i="1" s="1"/>
  <c r="Q239" i="1" s="1"/>
  <c r="M123" i="1"/>
  <c r="P123" i="1" s="1"/>
  <c r="Q123" i="1" s="1"/>
  <c r="M83" i="1"/>
  <c r="P83" i="1" s="1"/>
  <c r="Q83" i="1" s="1"/>
  <c r="M75" i="1"/>
  <c r="P75" i="1" s="1"/>
  <c r="Q75" i="1" s="1"/>
  <c r="M82" i="1"/>
  <c r="P82" i="1" s="1"/>
  <c r="Q82" i="1" s="1"/>
  <c r="M225" i="1"/>
  <c r="P225" i="1" s="1"/>
  <c r="Q225" i="1" s="1"/>
  <c r="M226" i="1"/>
  <c r="P226" i="1" s="1"/>
  <c r="Q226" i="1" s="1"/>
  <c r="M223" i="1"/>
  <c r="P223" i="1" s="1"/>
  <c r="Q223" i="1" s="1"/>
  <c r="M224" i="1"/>
  <c r="P224" i="1" s="1"/>
  <c r="Q224" i="1" s="1"/>
  <c r="M227" i="1"/>
  <c r="P227" i="1" s="1"/>
  <c r="Q227" i="1" s="1"/>
  <c r="M236" i="1"/>
  <c r="P236" i="1" s="1"/>
  <c r="Q236" i="1" s="1"/>
  <c r="M235" i="1"/>
  <c r="P235" i="1" s="1"/>
  <c r="Q235" i="1" s="1"/>
  <c r="M228" i="1"/>
  <c r="P228" i="1" s="1"/>
  <c r="Q228" i="1" s="1"/>
  <c r="M238" i="1"/>
  <c r="P238" i="1" s="1"/>
  <c r="Q238" i="1" s="1"/>
  <c r="M234" i="1"/>
  <c r="P234" i="1" s="1"/>
  <c r="Q234" i="1" s="1"/>
  <c r="M233" i="1"/>
  <c r="P233" i="1" s="1"/>
  <c r="Q233" i="1" s="1"/>
  <c r="M208" i="1"/>
  <c r="P208" i="1" s="1"/>
  <c r="Q208" i="1" s="1"/>
  <c r="M217" i="1"/>
  <c r="P217" i="1" s="1"/>
  <c r="Q217" i="1" s="1"/>
  <c r="M216" i="1"/>
  <c r="P216" i="1" s="1"/>
  <c r="Q216" i="1" s="1"/>
  <c r="M214" i="1"/>
  <c r="P214" i="1" s="1"/>
  <c r="Q214" i="1" s="1"/>
  <c r="M221" i="1"/>
  <c r="P221" i="1" s="1"/>
  <c r="Q221" i="1" s="1"/>
  <c r="M220" i="1"/>
  <c r="P220" i="1" s="1"/>
  <c r="Q220" i="1" s="1"/>
  <c r="M219" i="1"/>
  <c r="P219" i="1" s="1"/>
  <c r="Q219" i="1" s="1"/>
  <c r="M209" i="1"/>
  <c r="P209" i="1" s="1"/>
  <c r="Q209" i="1" s="1"/>
  <c r="M206" i="1"/>
  <c r="P206" i="1" s="1"/>
  <c r="Q206" i="1" s="1"/>
  <c r="M205" i="1"/>
  <c r="P205" i="1" s="1"/>
  <c r="Q205" i="1" s="1"/>
  <c r="M192" i="1"/>
  <c r="P192" i="1" s="1"/>
  <c r="Q192" i="1" s="1"/>
  <c r="M197" i="1"/>
  <c r="P197" i="1" s="1"/>
  <c r="Q197" i="1" s="1"/>
  <c r="M201" i="1"/>
  <c r="P201" i="1" s="1"/>
  <c r="Q201" i="1" s="1"/>
  <c r="M199" i="1"/>
  <c r="P199" i="1" s="1"/>
  <c r="Q199" i="1" s="1"/>
  <c r="M100" i="1"/>
  <c r="P100" i="1" s="1"/>
  <c r="Q100" i="1" s="1"/>
  <c r="M200" i="1"/>
  <c r="P200" i="1" s="1"/>
  <c r="Q200" i="1" s="1"/>
  <c r="M211" i="1"/>
  <c r="P211" i="1" s="1"/>
  <c r="Q211" i="1" s="1"/>
  <c r="M191" i="1"/>
  <c r="P191" i="1" s="1"/>
  <c r="Q191" i="1" s="1"/>
  <c r="M188" i="1"/>
  <c r="P188" i="1" s="1"/>
  <c r="Q188" i="1" s="1"/>
  <c r="M204" i="1"/>
  <c r="P204" i="1" s="1"/>
  <c r="Q204" i="1" s="1"/>
  <c r="M203" i="1"/>
  <c r="P203" i="1" s="1"/>
  <c r="Q203" i="1" s="1"/>
  <c r="M202" i="1"/>
  <c r="P202" i="1" s="1"/>
  <c r="Q202" i="1" s="1"/>
  <c r="M195" i="1"/>
  <c r="P195" i="1" s="1"/>
  <c r="Q195" i="1" s="1"/>
  <c r="M194" i="1"/>
  <c r="P194" i="1" s="1"/>
  <c r="Q194" i="1" s="1"/>
  <c r="M190" i="1"/>
  <c r="P190" i="1" s="1"/>
  <c r="Q190" i="1" s="1"/>
  <c r="M106" i="1"/>
  <c r="P106" i="1" s="1"/>
  <c r="Q106" i="1" s="1"/>
  <c r="M108" i="1"/>
  <c r="P108" i="1" s="1"/>
  <c r="Q108" i="1" s="1"/>
  <c r="M70" i="1"/>
  <c r="P70" i="1" s="1"/>
  <c r="Q70" i="1" s="1"/>
  <c r="M107" i="1"/>
  <c r="P107" i="1" s="1"/>
  <c r="Q107" i="1" s="1"/>
  <c r="M247" i="1"/>
  <c r="P247" i="1" s="1"/>
  <c r="M119" i="1"/>
  <c r="P119" i="1" s="1"/>
  <c r="M81" i="1"/>
  <c r="P81" i="1" s="1"/>
  <c r="M249" i="1"/>
  <c r="P249" i="1" s="1"/>
  <c r="Q249" i="1" s="1"/>
  <c r="M122" i="1"/>
  <c r="P122" i="1" s="1"/>
  <c r="Q122" i="1" s="1"/>
  <c r="M121" i="1"/>
  <c r="P121" i="1" s="1"/>
  <c r="Q121" i="1" s="1"/>
  <c r="M99" i="1"/>
  <c r="P99" i="1" s="1"/>
  <c r="Q99" i="1" s="1"/>
  <c r="M258" i="1"/>
  <c r="P258" i="1" s="1"/>
  <c r="Q258" i="1" s="1"/>
  <c r="M257" i="1"/>
  <c r="P257" i="1" s="1"/>
  <c r="Q257" i="1" s="1"/>
  <c r="M256" i="1"/>
  <c r="P256" i="1" s="1"/>
  <c r="Q256" i="1" s="1"/>
  <c r="M151" i="1"/>
  <c r="P151" i="1" s="1"/>
  <c r="M74" i="1"/>
  <c r="P74" i="1" s="1"/>
  <c r="Q74" i="1" s="1"/>
  <c r="M105" i="1"/>
  <c r="P105" i="1" s="1"/>
  <c r="Q105" i="1" s="1"/>
  <c r="M171" i="1"/>
  <c r="P171" i="1" s="1"/>
  <c r="Q171" i="1" s="1"/>
  <c r="M167" i="1"/>
  <c r="P167" i="1" s="1"/>
  <c r="Q167" i="1" s="1"/>
  <c r="M177" i="1"/>
  <c r="P177" i="1" s="1"/>
  <c r="Q177" i="1" s="1"/>
  <c r="M183" i="1"/>
  <c r="P183" i="1" s="1"/>
  <c r="Q183" i="1" s="1"/>
  <c r="M180" i="1"/>
  <c r="P180" i="1" s="1"/>
  <c r="Q180" i="1" s="1"/>
  <c r="M175" i="1"/>
  <c r="P175" i="1" s="1"/>
  <c r="Q175" i="1" s="1"/>
  <c r="M182" i="1"/>
  <c r="P182" i="1" s="1"/>
  <c r="Q182" i="1" s="1"/>
  <c r="M170" i="1"/>
  <c r="P170" i="1" s="1"/>
  <c r="Q170" i="1" s="1"/>
  <c r="M174" i="1"/>
  <c r="P174" i="1" s="1"/>
  <c r="Q174" i="1" s="1"/>
  <c r="M181" i="1"/>
  <c r="P181" i="1" s="1"/>
  <c r="Q181" i="1" s="1"/>
  <c r="M168" i="1"/>
  <c r="P168" i="1" s="1"/>
  <c r="Q168" i="1" s="1"/>
  <c r="M176" i="1"/>
  <c r="P176" i="1" s="1"/>
  <c r="Q176" i="1" s="1"/>
  <c r="M173" i="1"/>
  <c r="P173" i="1" s="1"/>
  <c r="Q173" i="1" s="1"/>
  <c r="M179" i="1"/>
  <c r="P179" i="1" s="1"/>
  <c r="Q179" i="1" s="1"/>
  <c r="M213" i="1"/>
  <c r="P213" i="1" s="1"/>
  <c r="Q213" i="1" s="1"/>
  <c r="M94" i="1"/>
  <c r="P94" i="1" s="1"/>
  <c r="Q94" i="1" s="1"/>
  <c r="M92" i="1"/>
  <c r="P92" i="1" s="1"/>
  <c r="M260" i="1"/>
  <c r="P260" i="1" s="1"/>
  <c r="M261" i="1"/>
  <c r="P261" i="1" s="1"/>
  <c r="Q261" i="1" s="1"/>
  <c r="M169" i="1"/>
  <c r="P169" i="1" s="1"/>
  <c r="Q169" i="1" s="1"/>
  <c r="M164" i="1"/>
  <c r="P164" i="1" s="1"/>
  <c r="Q164" i="1" s="1"/>
  <c r="M160" i="1"/>
  <c r="P160" i="1" s="1"/>
  <c r="Q160" i="1" s="1"/>
  <c r="M163" i="1"/>
  <c r="P163" i="1" s="1"/>
  <c r="Q163" i="1" s="1"/>
  <c r="M165" i="1"/>
  <c r="P165" i="1" s="1"/>
  <c r="Q165" i="1" s="1"/>
  <c r="M162" i="1"/>
  <c r="P162" i="1" s="1"/>
  <c r="Q162" i="1" s="1"/>
  <c r="M158" i="1"/>
  <c r="P158" i="1" s="1"/>
  <c r="Q158" i="1" s="1"/>
  <c r="M159" i="1"/>
  <c r="P159" i="1" s="1"/>
  <c r="Q159" i="1" s="1"/>
  <c r="M68" i="1"/>
  <c r="P68" i="1" s="1"/>
  <c r="Q68" i="1" s="1"/>
  <c r="M69" i="1"/>
  <c r="P69" i="1" s="1"/>
  <c r="Q69" i="1" s="1"/>
  <c r="M103" i="1"/>
  <c r="P103" i="1" s="1"/>
  <c r="Q103" i="1" s="1"/>
  <c r="M49" i="1"/>
  <c r="P49" i="1" s="1"/>
  <c r="Q49" i="1" s="1"/>
  <c r="M102" i="1"/>
  <c r="P102" i="1" s="1"/>
  <c r="M43" i="1"/>
  <c r="P43" i="1" s="1"/>
  <c r="Q43" i="1" s="1"/>
  <c r="M42" i="1"/>
  <c r="P42" i="1" s="1"/>
  <c r="Q42" i="1" s="1"/>
  <c r="M66" i="1"/>
  <c r="P66" i="1" s="1"/>
  <c r="Q66" i="1" s="1"/>
  <c r="M67" i="1"/>
  <c r="P67" i="1" s="1"/>
  <c r="Q67" i="1" s="1"/>
  <c r="M65" i="1"/>
  <c r="P65" i="1" s="1"/>
  <c r="Q65" i="1" s="1"/>
  <c r="M64" i="1"/>
  <c r="P64" i="1" s="1"/>
  <c r="Q64" i="1" s="1"/>
  <c r="M584" i="1"/>
  <c r="P584" i="1" s="1"/>
  <c r="M586" i="1"/>
  <c r="P586" i="1" s="1"/>
  <c r="Q586" i="1" s="1"/>
  <c r="M585" i="1"/>
  <c r="P585" i="1" s="1"/>
  <c r="Q585" i="1" s="1"/>
  <c r="M588" i="1"/>
  <c r="P588" i="1" s="1"/>
  <c r="Q588" i="1" s="1"/>
  <c r="M63" i="1"/>
  <c r="P63" i="1" s="1"/>
  <c r="Q63" i="1" s="1"/>
  <c r="M62" i="1"/>
  <c r="P62" i="1" s="1"/>
  <c r="Q62" i="1" s="1"/>
  <c r="M59" i="1"/>
  <c r="P59" i="1" s="1"/>
  <c r="Q59" i="1" s="1"/>
  <c r="M58" i="1"/>
  <c r="P58" i="1" s="1"/>
  <c r="Q58" i="1" s="1"/>
  <c r="M57" i="1"/>
  <c r="P57" i="1" s="1"/>
  <c r="Q57" i="1" s="1"/>
  <c r="M56" i="1"/>
  <c r="P56" i="1" s="1"/>
  <c r="Q56" i="1" s="1"/>
  <c r="M55" i="1"/>
  <c r="P55" i="1" s="1"/>
  <c r="Q55" i="1" s="1"/>
  <c r="M44" i="1"/>
  <c r="P44" i="1" s="1"/>
  <c r="Q44" i="1" s="1"/>
  <c r="M38" i="1"/>
  <c r="P38" i="1" s="1"/>
  <c r="Q38" i="1" s="1"/>
  <c r="M48" i="1"/>
  <c r="P48" i="1" s="1"/>
  <c r="Q48" i="1" s="1"/>
  <c r="M73" i="1"/>
  <c r="P73" i="1" s="1"/>
  <c r="Q73" i="1" s="1"/>
  <c r="M54" i="1"/>
  <c r="P54" i="1" s="1"/>
  <c r="Q54" i="1" s="1"/>
  <c r="M37" i="1"/>
  <c r="P37" i="1" s="1"/>
  <c r="Q37" i="1" s="1"/>
  <c r="M47" i="1"/>
  <c r="P47" i="1" s="1"/>
  <c r="Q47" i="1" s="1"/>
  <c r="M72" i="1"/>
  <c r="P72" i="1" s="1"/>
  <c r="Q72" i="1" s="1"/>
  <c r="M71" i="1"/>
  <c r="P71" i="1" s="1"/>
  <c r="Q71" i="1" s="1"/>
  <c r="M61" i="1"/>
  <c r="P61" i="1" s="1"/>
  <c r="Q61" i="1" s="1"/>
  <c r="M53" i="1"/>
  <c r="P53" i="1" s="1"/>
  <c r="Q53" i="1" s="1"/>
  <c r="M52" i="1"/>
  <c r="P52" i="1" s="1"/>
  <c r="Q52" i="1" s="1"/>
  <c r="M51" i="1"/>
  <c r="P51" i="1" s="1"/>
  <c r="Q51" i="1" s="1"/>
  <c r="M50" i="1"/>
  <c r="P50" i="1" s="1"/>
  <c r="Q50" i="1" s="1"/>
  <c r="M45" i="1"/>
  <c r="P45" i="1" s="1"/>
  <c r="Q45" i="1" s="1"/>
  <c r="M41" i="1"/>
  <c r="P41" i="1" s="1"/>
  <c r="Q41" i="1" s="1"/>
  <c r="M40" i="1"/>
  <c r="P40" i="1" s="1"/>
  <c r="Q40" i="1" s="1"/>
  <c r="M39" i="1"/>
  <c r="P39" i="1" s="1"/>
  <c r="Q39" i="1" s="1"/>
  <c r="M590" i="1"/>
  <c r="P590" i="1" s="1"/>
  <c r="Q590" i="1" s="1"/>
  <c r="M60" i="1"/>
  <c r="P60" i="1" s="1"/>
  <c r="Q60" i="1" s="1"/>
  <c r="M46" i="1"/>
  <c r="P46" i="1" s="1"/>
  <c r="Q46" i="1" s="1"/>
  <c r="M612" i="1"/>
  <c r="P612" i="1" s="1"/>
  <c r="Q612" i="1" s="1"/>
  <c r="M610" i="1"/>
  <c r="P610" i="1" s="1"/>
  <c r="Q610" i="1" s="1"/>
  <c r="M608" i="1"/>
  <c r="P608" i="1" s="1"/>
  <c r="Q608" i="1" s="1"/>
  <c r="M35" i="1"/>
  <c r="P35" i="1" s="1"/>
  <c r="Q35" i="1" s="1"/>
  <c r="M604" i="1"/>
  <c r="P604" i="1" s="1"/>
  <c r="Q604" i="1" s="1"/>
  <c r="M609" i="1"/>
  <c r="P609" i="1" s="1"/>
  <c r="Q609" i="1" s="1"/>
  <c r="M614" i="1"/>
  <c r="P614" i="1" s="1"/>
  <c r="Q614" i="1" s="1"/>
  <c r="M611" i="1"/>
  <c r="P611" i="1" s="1"/>
  <c r="Q611" i="1" s="1"/>
  <c r="M615" i="1"/>
  <c r="P615" i="1" s="1"/>
  <c r="Q615" i="1" s="1"/>
  <c r="M600" i="1"/>
  <c r="P600" i="1" s="1"/>
  <c r="Q600" i="1" s="1"/>
  <c r="M603" i="1"/>
  <c r="P603" i="1" s="1"/>
  <c r="Q603" i="1" s="1"/>
  <c r="M598" i="1"/>
  <c r="P598" i="1" s="1"/>
  <c r="Q598" i="1" s="1"/>
  <c r="M602" i="1"/>
  <c r="P602" i="1" s="1"/>
  <c r="Q602" i="1" s="1"/>
  <c r="M34" i="1"/>
  <c r="P34" i="1" s="1"/>
  <c r="Q34" i="1" s="1"/>
  <c r="M32" i="1"/>
  <c r="P32" i="1" s="1"/>
  <c r="Q32" i="1" s="1"/>
  <c r="M30" i="1"/>
  <c r="P30" i="1" s="1"/>
  <c r="Q30" i="1" s="1"/>
  <c r="M29" i="1"/>
  <c r="P29" i="1" s="1"/>
  <c r="Q29" i="1" s="1"/>
  <c r="M31" i="1"/>
  <c r="P31" i="1" s="1"/>
  <c r="Q31" i="1" s="1"/>
  <c r="M33" i="1"/>
  <c r="P33" i="1" s="1"/>
  <c r="Q33" i="1" s="1"/>
  <c r="M596" i="1"/>
  <c r="P596" i="1" s="1"/>
  <c r="Q596" i="1" s="1"/>
  <c r="M28" i="1"/>
  <c r="P28" i="1" s="1"/>
  <c r="Q28" i="1" s="1"/>
  <c r="M595" i="1"/>
  <c r="P595" i="1" s="1"/>
  <c r="M597" i="1"/>
  <c r="P597" i="1" s="1"/>
  <c r="Q597" i="1" s="1"/>
  <c r="M601" i="1"/>
  <c r="P601" i="1" s="1"/>
  <c r="Q601" i="1" s="1"/>
  <c r="M26" i="1"/>
  <c r="P26" i="1" s="1"/>
  <c r="M27" i="1"/>
  <c r="P27" i="1" s="1"/>
  <c r="Q27" i="1" s="1"/>
  <c r="M9" i="1"/>
  <c r="P9" i="1" s="1"/>
  <c r="Q9" i="1" s="1"/>
  <c r="M16" i="1"/>
  <c r="P16" i="1" s="1"/>
  <c r="Q16" i="1" s="1"/>
  <c r="M17" i="1"/>
  <c r="P17" i="1" s="1"/>
  <c r="Q17" i="1" s="1"/>
  <c r="M14" i="1"/>
  <c r="P14" i="1" s="1"/>
  <c r="Q14" i="1" s="1"/>
  <c r="M13" i="1"/>
  <c r="P13" i="1" s="1"/>
  <c r="Q13" i="1" s="1"/>
  <c r="M12" i="1"/>
  <c r="P12" i="1" s="1"/>
  <c r="Q12" i="1" s="1"/>
  <c r="M18" i="1"/>
  <c r="P18" i="1" s="1"/>
  <c r="Q18" i="1" s="1"/>
  <c r="M15" i="1"/>
  <c r="P15" i="1" s="1"/>
  <c r="Q15" i="1" s="1"/>
  <c r="M11" i="1"/>
  <c r="P11" i="1" s="1"/>
  <c r="Q11" i="1" s="1"/>
  <c r="M10" i="1"/>
  <c r="P10" i="1" s="1"/>
  <c r="Q10" i="1" s="1"/>
  <c r="M185" i="1"/>
  <c r="P185" i="1" s="1"/>
  <c r="Q185" i="1" s="1"/>
  <c r="M184" i="1"/>
  <c r="P184" i="1" s="1"/>
  <c r="M186" i="1"/>
  <c r="P186" i="1" s="1"/>
  <c r="Q487" i="1" l="1"/>
  <c r="R577" i="1" s="1"/>
  <c r="N577" i="1"/>
  <c r="E19" i="2" s="1"/>
  <c r="N268" i="1"/>
  <c r="E16" i="2" s="1"/>
  <c r="Q369" i="1"/>
  <c r="R440" i="1" s="1"/>
  <c r="N440" i="1"/>
  <c r="E18" i="2" s="1"/>
  <c r="Q277" i="1"/>
  <c r="R344" i="1" s="1"/>
  <c r="N344" i="1"/>
  <c r="E17" i="2" s="1"/>
  <c r="G16" i="2"/>
  <c r="H16" i="2" s="1"/>
  <c r="N116" i="1"/>
  <c r="E10" i="2" s="1"/>
  <c r="G10" i="2" s="1"/>
  <c r="H10" i="2" s="1"/>
  <c r="J10" i="2" s="1"/>
  <c r="Q81" i="1"/>
  <c r="R87" i="1" s="1"/>
  <c r="N87" i="1"/>
  <c r="E7" i="2" s="1"/>
  <c r="N130" i="1"/>
  <c r="E11" i="2" s="1"/>
  <c r="Q119" i="1"/>
  <c r="R130" i="1" s="1"/>
  <c r="Q247" i="1"/>
  <c r="R251" i="1" s="1"/>
  <c r="N251" i="1"/>
  <c r="E14" i="2" s="1"/>
  <c r="G14" i="2" s="1"/>
  <c r="H14" i="2" s="1"/>
  <c r="N154" i="1"/>
  <c r="E12" i="2" s="1"/>
  <c r="Q151" i="1"/>
  <c r="R154" i="1" s="1"/>
  <c r="Q260" i="1"/>
  <c r="R263" i="1" s="1"/>
  <c r="N263" i="1"/>
  <c r="E15" i="2" s="1"/>
  <c r="Q92" i="1"/>
  <c r="R96" i="1" s="1"/>
  <c r="N96" i="1"/>
  <c r="E8" i="2" s="1"/>
  <c r="N111" i="1"/>
  <c r="E9" i="2" s="1"/>
  <c r="Q102" i="1"/>
  <c r="R111" i="1" s="1"/>
  <c r="Q584" i="1"/>
  <c r="R592" i="1" s="1"/>
  <c r="N592" i="1"/>
  <c r="E20" i="2" s="1"/>
  <c r="Q595" i="1"/>
  <c r="R617" i="1" s="1"/>
  <c r="N617" i="1"/>
  <c r="E21" i="2" s="1"/>
  <c r="Q26" i="1"/>
  <c r="R78" i="1" s="1"/>
  <c r="N78" i="1"/>
  <c r="E6" i="2" s="1"/>
  <c r="R23" i="1"/>
  <c r="N23" i="1"/>
  <c r="E5" i="2" s="1"/>
  <c r="G5" i="2" s="1"/>
  <c r="H5" i="2" s="1"/>
  <c r="N230" i="1"/>
  <c r="E13" i="2" s="1"/>
  <c r="Q186" i="1"/>
  <c r="N619" i="1"/>
  <c r="Q184" i="1"/>
  <c r="R622" i="1"/>
  <c r="P1" i="1" s="1"/>
  <c r="G19" i="2" l="1"/>
  <c r="H19" i="2" s="1"/>
  <c r="G18" i="2"/>
  <c r="H18" i="2" s="1"/>
  <c r="G17" i="2"/>
  <c r="H17" i="2" s="1"/>
  <c r="I16" i="2"/>
  <c r="J16" i="2"/>
  <c r="I10" i="2"/>
  <c r="L10" i="2" s="1"/>
  <c r="G11" i="2"/>
  <c r="H11" i="2" s="1"/>
  <c r="J14" i="2"/>
  <c r="I14" i="2"/>
  <c r="G7" i="2"/>
  <c r="H7" i="2" s="1"/>
  <c r="G12" i="2"/>
  <c r="H12" i="2" s="1"/>
  <c r="G8" i="2"/>
  <c r="H8" i="2" s="1"/>
  <c r="G15" i="2"/>
  <c r="H15" i="2" s="1"/>
  <c r="G9" i="2"/>
  <c r="H9" i="2" s="1"/>
  <c r="G20" i="2"/>
  <c r="H20" i="2" s="1"/>
  <c r="G21" i="2"/>
  <c r="H21" i="2" s="1"/>
  <c r="G6" i="2"/>
  <c r="H6" i="2" s="1"/>
  <c r="J5" i="2"/>
  <c r="I5" i="2"/>
  <c r="R230" i="1"/>
  <c r="R619" i="1" s="1"/>
  <c r="E23" i="2"/>
  <c r="E30" i="2" s="1"/>
  <c r="G13" i="2"/>
  <c r="P3" i="1"/>
  <c r="P2" i="1"/>
  <c r="I19" i="2" l="1"/>
  <c r="J19" i="2"/>
  <c r="J18" i="2"/>
  <c r="I18" i="2"/>
  <c r="L16" i="2"/>
  <c r="J17" i="2"/>
  <c r="I17" i="2"/>
  <c r="L14" i="2"/>
  <c r="J7" i="2"/>
  <c r="I7" i="2"/>
  <c r="J11" i="2"/>
  <c r="I11" i="2"/>
  <c r="I12" i="2"/>
  <c r="J12" i="2"/>
  <c r="J8" i="2"/>
  <c r="I8" i="2"/>
  <c r="I15" i="2"/>
  <c r="J15" i="2"/>
  <c r="I9" i="2"/>
  <c r="J9" i="2"/>
  <c r="J20" i="2"/>
  <c r="I20" i="2"/>
  <c r="J21" i="2"/>
  <c r="I21" i="2"/>
  <c r="G23" i="2"/>
  <c r="I6" i="2"/>
  <c r="J6" i="2"/>
  <c r="H13" i="2"/>
  <c r="E31" i="2"/>
  <c r="L19" i="2" l="1"/>
  <c r="L18" i="2"/>
  <c r="L17" i="2"/>
  <c r="L7" i="2"/>
  <c r="L11" i="2"/>
  <c r="L12" i="2"/>
  <c r="L8" i="2"/>
  <c r="L15" i="2"/>
  <c r="L9" i="2"/>
  <c r="L20" i="2"/>
  <c r="L6" i="2"/>
  <c r="L21" i="2"/>
  <c r="E32" i="2"/>
  <c r="E34" i="2" s="1"/>
  <c r="P4" i="1"/>
  <c r="P5" i="1" s="1"/>
  <c r="H23" i="2"/>
  <c r="I13" i="2"/>
  <c r="I23" i="2" s="1"/>
  <c r="J13" i="2"/>
  <c r="J23" i="2" s="1"/>
  <c r="E33" i="2" l="1"/>
  <c r="E35" i="2" s="1"/>
  <c r="E38" i="2" s="1"/>
  <c r="L13" i="2"/>
  <c r="K5" i="2"/>
  <c r="K23" i="2" l="1"/>
  <c r="L5" i="2"/>
  <c r="L23" i="2" l="1"/>
</calcChain>
</file>

<file path=xl/sharedStrings.xml><?xml version="1.0" encoding="utf-8"?>
<sst xmlns="http://schemas.openxmlformats.org/spreadsheetml/2006/main" count="1385" uniqueCount="767">
  <si>
    <t>SR.
NO.</t>
  </si>
  <si>
    <t>DESCRIPTION</t>
  </si>
  <si>
    <t>QUANTITY</t>
  </si>
  <si>
    <t>UNIT</t>
  </si>
  <si>
    <t>MATERIAL 
COST</t>
  </si>
  <si>
    <t>MANHOURS COST</t>
  </si>
  <si>
    <t>UNIT MANHOURS</t>
  </si>
  <si>
    <t>TOTAL MANHOURS</t>
  </si>
  <si>
    <t>TOTAL
COST</t>
  </si>
  <si>
    <t>UNIT MATERIAL
COST</t>
  </si>
  <si>
    <t>DWG. NO.</t>
  </si>
  <si>
    <t>DETAIL NO.</t>
  </si>
  <si>
    <t>SUBTOTAL MATERIAL</t>
  </si>
  <si>
    <t>SUBTOTAL LABOR</t>
  </si>
  <si>
    <t>COMPOSITE LABOR RATE</t>
  </si>
  <si>
    <t>BID SUMMARY</t>
  </si>
  <si>
    <t>MATERIAL COST</t>
  </si>
  <si>
    <t>LABOR COST</t>
  </si>
  <si>
    <t>MATERIAL TAX</t>
  </si>
  <si>
    <t>LABOR TAX</t>
  </si>
  <si>
    <t>TOTAL COST</t>
  </si>
  <si>
    <t>OVERHEADS</t>
  </si>
  <si>
    <t>PROFITS</t>
  </si>
  <si>
    <t>TOTAL PRICE</t>
  </si>
  <si>
    <t>TOTALS</t>
  </si>
  <si>
    <t>BID RECAP</t>
  </si>
  <si>
    <t>TOTAL MATERIAL COST</t>
  </si>
  <si>
    <t>TOTAL LABOR COST</t>
  </si>
  <si>
    <t>MATERIAL SALES TAX</t>
  </si>
  <si>
    <t>OVERHEADS @</t>
  </si>
  <si>
    <t>JOB EXPENSE</t>
  </si>
  <si>
    <t>TOTAL COST WITH OVERHEADS + PROFIT</t>
  </si>
  <si>
    <t>PROFIT @</t>
  </si>
  <si>
    <t>BASE BID PRICE</t>
  </si>
  <si>
    <t>MAN LOAD</t>
  </si>
  <si>
    <t>SUPERVISOR RATE</t>
  </si>
  <si>
    <t>UNSKILLED LABOR RATE</t>
  </si>
  <si>
    <t>TOTAL MANHOURS WITH SUPERVISION</t>
  </si>
  <si>
    <t>NUMBER OF MAN-DAYS</t>
  </si>
  <si>
    <t>PREVAILING WAGE RATE</t>
  </si>
  <si>
    <t>MAN-LOADING AND SUPERVISION ANALYSIS</t>
  </si>
  <si>
    <t>INSERT VALUES IN YELLOW HIGHLIGHTED CELLS WHERE APPLICABLE</t>
  </si>
  <si>
    <t>SUBTOTAL HOURS</t>
  </si>
  <si>
    <t>CSI NO.</t>
  </si>
  <si>
    <t>09 00 00</t>
  </si>
  <si>
    <t>OPENINGS</t>
  </si>
  <si>
    <t>08 00 00</t>
  </si>
  <si>
    <t>FINISHES</t>
  </si>
  <si>
    <t>JOURNEYMAN RATE</t>
  </si>
  <si>
    <t>Mudding Compound (12 LBS)</t>
  </si>
  <si>
    <t>Screws (244 EA)</t>
  </si>
  <si>
    <t>ROLLS</t>
  </si>
  <si>
    <t>BUCKETS</t>
  </si>
  <si>
    <t>BOXES</t>
  </si>
  <si>
    <t>Taping (180' L)</t>
  </si>
  <si>
    <t>02 00 00</t>
  </si>
  <si>
    <t>03 00 00</t>
  </si>
  <si>
    <t>CONCRETE</t>
  </si>
  <si>
    <t>WOOD, PLASTICS, AND COMPOSITES</t>
  </si>
  <si>
    <t>THERMAL AND MOISTURE PROTECTION</t>
  </si>
  <si>
    <t>10 00 00</t>
  </si>
  <si>
    <t>SPECIALTIES</t>
  </si>
  <si>
    <t>12 00 00</t>
  </si>
  <si>
    <t>FURNISHINGS</t>
  </si>
  <si>
    <t>31 00 00</t>
  </si>
  <si>
    <t>EARTHWORK</t>
  </si>
  <si>
    <t>SELECTIVE DEMOLITION</t>
  </si>
  <si>
    <t>DIVISION 03 - CONCRETE</t>
  </si>
  <si>
    <t>CAST-IN-PLACE CONCRETE</t>
  </si>
  <si>
    <t>PRECAST CONCRETE</t>
  </si>
  <si>
    <t>UNIT MASONRY</t>
  </si>
  <si>
    <t>MASONRY VENEER</t>
  </si>
  <si>
    <t>CAST STONE MASONRY</t>
  </si>
  <si>
    <t>DIVISION 05 - METALS</t>
  </si>
  <si>
    <t>STRUCTURAL STEEL FRAMING</t>
  </si>
  <si>
    <t>METAL FABRICATIONS</t>
  </si>
  <si>
    <t>ROUGH CARPENTRY</t>
  </si>
  <si>
    <t xml:space="preserve">06 10 00 </t>
  </si>
  <si>
    <t>ETHYLENE-PROPYLENE-DIENE-MONOMER (EPDM) ROOFING</t>
  </si>
  <si>
    <t>FLASHING AND SHEET METAL</t>
  </si>
  <si>
    <t>JOINT SEALANTS</t>
  </si>
  <si>
    <t xml:space="preserve">07 92 00  </t>
  </si>
  <si>
    <t>DIVISION 08 - OPENINGS</t>
  </si>
  <si>
    <t>ALUMINUM WINDOWS</t>
  </si>
  <si>
    <t xml:space="preserve">08 51 13 </t>
  </si>
  <si>
    <t>DOOR HARDWARE</t>
  </si>
  <si>
    <t xml:space="preserve">08 71 00 </t>
  </si>
  <si>
    <t>GLAZING</t>
  </si>
  <si>
    <t xml:space="preserve">08 80 00 </t>
  </si>
  <si>
    <t>DIVISION 09 - FINISHES</t>
  </si>
  <si>
    <t>GYPSUM BOARD ASSEMBLIES</t>
  </si>
  <si>
    <t>CERAMIC TILING</t>
  </si>
  <si>
    <t>PORCELAIN TILING</t>
  </si>
  <si>
    <t>RESILIENT TILE FLOORING</t>
  </si>
  <si>
    <t xml:space="preserve">09 65 19 </t>
  </si>
  <si>
    <t>FLUID-APPLIED FLOORING</t>
  </si>
  <si>
    <t>TILE CARPETING</t>
  </si>
  <si>
    <t xml:space="preserve">09 68 13 </t>
  </si>
  <si>
    <t>WALL COVERINGS</t>
  </si>
  <si>
    <t>PAINTING</t>
  </si>
  <si>
    <t>DIVISION 10 - SPECIALTIES</t>
  </si>
  <si>
    <t>VISUAL DISPLAY UNITS</t>
  </si>
  <si>
    <t xml:space="preserve">10 11 00 </t>
  </si>
  <si>
    <t>TOILET ACCESSORIES</t>
  </si>
  <si>
    <t>FIRE EXTINGUISHERS</t>
  </si>
  <si>
    <t>DIVISION 12 - FURNISHINGS</t>
  </si>
  <si>
    <t>SITE FURNISHINGS</t>
  </si>
  <si>
    <t>DIVISION 31 - EARTHWORK</t>
  </si>
  <si>
    <t>EXCAVATION AND FILL</t>
  </si>
  <si>
    <t>DIVISION 32 - EXTERIOR IMPROVEMENTS</t>
  </si>
  <si>
    <t>PAVING SPECIALTIES</t>
  </si>
  <si>
    <t>DIVISION 06 - WOOD, PLASTICS, AND COMPOSITES</t>
  </si>
  <si>
    <t>DIVISION 07 - THERMAL AND MOISTURE PROTECTION</t>
  </si>
  <si>
    <t>Notes:</t>
  </si>
  <si>
    <t>Date:</t>
  </si>
  <si>
    <t>All other prices are excluded that are not included in the estimate above.</t>
  </si>
  <si>
    <t>DIVISION 04 - MASONRY</t>
  </si>
  <si>
    <t>MASONRY</t>
  </si>
  <si>
    <t>METALS</t>
  </si>
  <si>
    <t>06 00 00</t>
  </si>
  <si>
    <t>05 00 00</t>
  </si>
  <si>
    <t>04 00 00</t>
  </si>
  <si>
    <t>07 00 00</t>
  </si>
  <si>
    <t>32 00 00</t>
  </si>
  <si>
    <t>EXTERIOR IMPROVEMENTS</t>
  </si>
  <si>
    <t>DIVISION</t>
  </si>
  <si>
    <t>BOND &amp; INSURANCE</t>
  </si>
  <si>
    <t>PROJECT SUPERVISION &amp; PROJECT MANAGEMENT</t>
  </si>
  <si>
    <t>PROJECT SCHEDULE (Primavera P3 or P6)</t>
  </si>
  <si>
    <t>OFFICE OVERHEADS</t>
  </si>
  <si>
    <t>QTY W/
WASTAGE</t>
  </si>
  <si>
    <t>MAN HOUR RATE</t>
  </si>
  <si>
    <t>WASTAGE %</t>
  </si>
  <si>
    <t>01 00 00</t>
  </si>
  <si>
    <t>DIVISION 01 - GENERAL REQUIREMENTS</t>
  </si>
  <si>
    <t>GENERAL REQUIREMENTS</t>
  </si>
  <si>
    <t>DIVISION 21 - FIRE SUPPRESSION</t>
  </si>
  <si>
    <t>DIVISION 22 - PLUMBING</t>
  </si>
  <si>
    <t>DIVISION 23 - HEATING, VENTILATING &amp; AIR- CONDITIOINING</t>
  </si>
  <si>
    <t>DIVISION 26 - ELECTRICAL</t>
  </si>
  <si>
    <t>21 00 00</t>
  </si>
  <si>
    <t>22 00 00</t>
  </si>
  <si>
    <t>23 00 00</t>
  </si>
  <si>
    <t>26 00 00</t>
  </si>
  <si>
    <t>FIRE SUPPRESSION</t>
  </si>
  <si>
    <t>PLUMBING</t>
  </si>
  <si>
    <t>ELECTRICAL</t>
  </si>
  <si>
    <t>SF</t>
  </si>
  <si>
    <t>EXISTING CONDITIONS/ DEMOLITION</t>
  </si>
  <si>
    <t>ADDITIONAL COST (If Any)</t>
  </si>
  <si>
    <t>Conduits</t>
  </si>
  <si>
    <t>BRANCH WIRING</t>
  </si>
  <si>
    <t>Conduit- Lighting</t>
  </si>
  <si>
    <t>Conductor- Lighting</t>
  </si>
  <si>
    <t>Conduit- Power</t>
  </si>
  <si>
    <t>Conductor- Power</t>
  </si>
  <si>
    <t>WIRING DEVICES</t>
  </si>
  <si>
    <t>Devices</t>
  </si>
  <si>
    <t>LIGHTING CONTROLS</t>
  </si>
  <si>
    <t>ROUGH IN FOR LOW VOLTAGE SYSTEM</t>
  </si>
  <si>
    <t>ROUGH IN FOR FIRE ALARM SYSTEM</t>
  </si>
  <si>
    <t>FIXTURES</t>
  </si>
  <si>
    <t>Flexible Ducts</t>
  </si>
  <si>
    <t>Rectangular Ducts</t>
  </si>
  <si>
    <t>PIPES</t>
  </si>
  <si>
    <t>INSULATION</t>
  </si>
  <si>
    <t>DEVICES</t>
  </si>
  <si>
    <t>EQUIPMENTS</t>
  </si>
  <si>
    <t>TOTAL LABOR HOURS</t>
  </si>
  <si>
    <t>OVERHEAD COST</t>
  </si>
  <si>
    <t>PROFIT COST</t>
  </si>
  <si>
    <t>PROJECT COST</t>
  </si>
  <si>
    <t>TOTAL MATERIAL</t>
  </si>
  <si>
    <t>TOTAL LABOR</t>
  </si>
  <si>
    <t>TOTAL HOURS</t>
  </si>
  <si>
    <t>LF</t>
  </si>
  <si>
    <t>CY</t>
  </si>
  <si>
    <t>TOTAL BID COST</t>
  </si>
  <si>
    <t>HEATING, VENTILATING &amp; AIR- CONDITIONING</t>
  </si>
  <si>
    <t>Scaffolding/ Means and Method</t>
  </si>
  <si>
    <t>Sidewalk shed</t>
  </si>
  <si>
    <t>LS</t>
  </si>
  <si>
    <t>SUBMITTALS, SAMPLES, SHOP DRAWINGS, SITE SAFETY PLAN, ETC.</t>
  </si>
  <si>
    <t>TEMPORARY FACILITIES &amp; CONTROLS INCL. 
- CONTRACTOR'S FIELD OFFICE
- TEMPORARY UTILITIES
- AUTHORITY'S FIELD OFFICE ( SF) 
- FURNISHINGS</t>
  </si>
  <si>
    <t>MOBILIZATION AND DEMOBILIZATION</t>
  </si>
  <si>
    <t>CLOSEOUT PROCEDURES</t>
  </si>
  <si>
    <t>PERMITS (DOT, DOB &amp; After hour permits ETC.)</t>
  </si>
  <si>
    <t>SAFETY REQUIREMENTS</t>
  </si>
  <si>
    <t>Addendum: N/A</t>
  </si>
  <si>
    <t>Online sources are used for pricing purpose. Please verify, as per your own convenience.</t>
  </si>
  <si>
    <t>Prices can vary depending upon field conditions.</t>
  </si>
  <si>
    <t>Cells highlighted with green, please price the items as per your own facility.</t>
  </si>
  <si>
    <t>MENDHAM TOWNSHIP BOARD OF EDUCATION (MENDHAM TOWNSHIP ELEMENTARY SCHOOL)</t>
  </si>
  <si>
    <t>18 WEST MAIN STREET, BROOKSIDE, NJ 07926, BLOCK: 137 / LOT: 48</t>
  </si>
  <si>
    <t>Project Scope: GC</t>
  </si>
  <si>
    <t>DIVISION 02 - EXISTING CONDITIONS</t>
  </si>
  <si>
    <t>02 41 19</t>
  </si>
  <si>
    <t>SITE DEMOLITION</t>
  </si>
  <si>
    <t xml:space="preserve">02 41 19.1 </t>
  </si>
  <si>
    <t>03 30 00</t>
  </si>
  <si>
    <t>07 84 13</t>
  </si>
  <si>
    <t>PENETRATION FIRESTOPPING</t>
  </si>
  <si>
    <t>FLUSH WOOD DOORS</t>
  </si>
  <si>
    <t>08 14 16</t>
  </si>
  <si>
    <t>ALUMINUM – FRAMED ENTRANCES &amp; STOREFRONTS</t>
  </si>
  <si>
    <t>08 43 13</t>
  </si>
  <si>
    <t>09 29 00</t>
  </si>
  <si>
    <t>09 51 13</t>
  </si>
  <si>
    <t>RESILIENT BASE AND ACCESSORIES</t>
  </si>
  <si>
    <t>09 65 13</t>
  </si>
  <si>
    <t>SOUND ABSORBING WALL UNITS</t>
  </si>
  <si>
    <t>09 84 33</t>
  </si>
  <si>
    <t>METAL LOCKERS</t>
  </si>
  <si>
    <t xml:space="preserve">10 51 13 </t>
  </si>
  <si>
    <t>ROLLER WINDOW SHADES</t>
  </si>
  <si>
    <t xml:space="preserve">12 24 13 </t>
  </si>
  <si>
    <t>MANUFACTURED PLASTIC-LAMINATE-CLAD CASEWORK</t>
  </si>
  <si>
    <t xml:space="preserve">12 32 16 </t>
  </si>
  <si>
    <t>SOLID SURFACING COUNTERTOPS</t>
  </si>
  <si>
    <t xml:space="preserve">12 36 61.16 </t>
  </si>
  <si>
    <t>HOT MIX ASPHALT PAVING</t>
  </si>
  <si>
    <t xml:space="preserve">32 12 16.01 </t>
  </si>
  <si>
    <t>CONCRETE PAVING AND CURBS</t>
  </si>
  <si>
    <t xml:space="preserve">32 13 13 </t>
  </si>
  <si>
    <t>LAWNS AND GRASSES</t>
  </si>
  <si>
    <t>32 92 00</t>
  </si>
  <si>
    <t>C2.0</t>
  </si>
  <si>
    <t>Remove existing stair landing</t>
  </si>
  <si>
    <t>Remove existing curb</t>
  </si>
  <si>
    <t>C2.0-2.1</t>
  </si>
  <si>
    <t>Remove existing entrance landing
- Protect existing canopy columns and footings</t>
  </si>
  <si>
    <t>Demolish existing sign</t>
  </si>
  <si>
    <t>EA</t>
  </si>
  <si>
    <t>Sawcut asphalt pavement</t>
  </si>
  <si>
    <t>Demolish existing full depth asphalt pavement
- Assumed thickness = 12" Thk.</t>
  </si>
  <si>
    <t>Mill (2" Thk.) off of existing asphalt</t>
  </si>
  <si>
    <t>Remove/ replace fence fabric/ post as needed to facilitate new work</t>
  </si>
  <si>
    <t>C2.1</t>
  </si>
  <si>
    <t>Remove concrete sidewalk
- Assumed thickness = 8" Thk.</t>
  </si>
  <si>
    <t>(9"x18") Concrete curb = 1375 LF</t>
  </si>
  <si>
    <t>4/C6.0</t>
  </si>
  <si>
    <t>C3.0-3.1</t>
  </si>
  <si>
    <t>7B/C6.0</t>
  </si>
  <si>
    <t>7A/C6.0</t>
  </si>
  <si>
    <t>7C/C6.0</t>
  </si>
  <si>
    <t>Playground/ paved bituminous pavement as:
- (2" Thk.) HMA Mix 9.5M64 surface course
- (4" Thk., 3/4" Dia.) Quarry processed stone subbase
- Compacted subgrade</t>
  </si>
  <si>
    <t>Heavy duty bituminous pavement as:
- (2" Thk.) HMA Mix 9.5M64 surface course
- Tack coat
- (4" Thk.) HMA Mix 19M64 stabilized base course
- (6" Thk., 3/4" Dia.) Quarry processed stone subbase
- Compacted subgrade</t>
  </si>
  <si>
    <t>Standard duty bituminous pavement as:
- (1.5" Thk.) HMA Mix 9.5M64 surface course
- Tack coat
- (3" Thk.) HMA Mix 19M64 stabilized base course
- (4" Thk., 3/4" Dia.) Quarry processed stone subbase
- Compacted subgrade</t>
  </si>
  <si>
    <t>C3.0</t>
  </si>
  <si>
    <t>5/C6.0</t>
  </si>
  <si>
    <t>Surface crack repair and overlay as:
- (2" Thk.) HMA Mix 9.5M64 surface overlay
- Tack coat
- Existing surface course crack repair w/ petrotac 4591 synthetic fabric</t>
  </si>
  <si>
    <t>2/C6.0</t>
  </si>
  <si>
    <t>(6" Thk.) Reinforced concrete landing w/ W2.9xW2.9 6GA. WWM = 290 SF</t>
  </si>
  <si>
    <t>(3/4" Dia.) Stone subbase</t>
  </si>
  <si>
    <t>Excavation for concrete landing</t>
  </si>
  <si>
    <t>Imported dense graded aggregate backfill</t>
  </si>
  <si>
    <t>1-2A/C6.0</t>
  </si>
  <si>
    <t>Concrete pavement as:
- (4" Thk.) Concrete
- (4" Thk., 3/4" Dia.) Clean stone</t>
  </si>
  <si>
    <t>12/C6.0</t>
  </si>
  <si>
    <t>(12" Thk.) Reinforced concrete footing = 20 SF</t>
  </si>
  <si>
    <t>Safety stair nosing</t>
  </si>
  <si>
    <t>8/C6.0</t>
  </si>
  <si>
    <t>Standard parking stall striping</t>
  </si>
  <si>
    <t>(3'-0"x3'-0") ADA Handicap pavement stall</t>
  </si>
  <si>
    <t>Ground mounted traffic sign w/ (18"x12") handicapped parking sign (R7-8) with sign post</t>
  </si>
  <si>
    <t>11/C6.0</t>
  </si>
  <si>
    <t>C3.1</t>
  </si>
  <si>
    <t>10/C6.0</t>
  </si>
  <si>
    <t>Core drill existing pavement for bollard footing</t>
  </si>
  <si>
    <t>(18" Dia., 3' H) Bollard footing</t>
  </si>
  <si>
    <t>(6" Dia., 7' H) Concrete filled Galv. Steel pipe SCH40 bollard w/ reflective tape</t>
  </si>
  <si>
    <t>Remove and relocate existing sign post</t>
  </si>
  <si>
    <t>(12" W) Cross walk stripes = 6 LF</t>
  </si>
  <si>
    <t>EROSION AND SEDIMENTATION CONTROLS</t>
  </si>
  <si>
    <t>Inlet protection</t>
  </si>
  <si>
    <t>C5.0</t>
  </si>
  <si>
    <t>See legend</t>
  </si>
  <si>
    <t>Silt fence</t>
  </si>
  <si>
    <t>Stabilized construction access</t>
  </si>
  <si>
    <t>DEWATERING</t>
  </si>
  <si>
    <t>Dewatering</t>
  </si>
  <si>
    <t>SOIL RESTORATION</t>
  </si>
  <si>
    <t>Soil restoration</t>
  </si>
  <si>
    <t>Remove existing ceramic tile flooring in its entirety down to concrete slab incl. wall base</t>
  </si>
  <si>
    <t>D1.11-1.13</t>
  </si>
  <si>
    <t>Remove, store and reinstall existing casework</t>
  </si>
  <si>
    <t>D1.19</t>
  </si>
  <si>
    <t>Note 10</t>
  </si>
  <si>
    <t>Remove single door incl. frame in its entirety</t>
  </si>
  <si>
    <t>D1.12-1.14</t>
  </si>
  <si>
    <t>Remove double door incl. frame in its entirety</t>
  </si>
  <si>
    <t>D1.18-1.19</t>
  </si>
  <si>
    <t>Remove single door in its entirety 
-  Frame to remain</t>
  </si>
  <si>
    <t>D1.17</t>
  </si>
  <si>
    <t>Remove double closet door</t>
  </si>
  <si>
    <t>D1.18</t>
  </si>
  <si>
    <t>Remove existing masonry wall</t>
  </si>
  <si>
    <t>D1.13-1.19</t>
  </si>
  <si>
    <t>Sawcut existing masonry wall</t>
  </si>
  <si>
    <t>Remove existing storefront wall</t>
  </si>
  <si>
    <t>Note 39</t>
  </si>
  <si>
    <t>Remove existing wall mounted hooks</t>
  </si>
  <si>
    <t>Note 46</t>
  </si>
  <si>
    <t>Remove, store and reinstall existing lockers</t>
  </si>
  <si>
    <t>Remove, store and reinstall existing escutcheon plate</t>
  </si>
  <si>
    <t>Note 12</t>
  </si>
  <si>
    <t>Note 11</t>
  </si>
  <si>
    <t>Remove existing flooring in its entirety down to concrete slab incl. wall base</t>
  </si>
  <si>
    <t>D1.14-1.19</t>
  </si>
  <si>
    <t>Remove existing vinyl tile flooring in its entirety down to concrete slab incl. wall base</t>
  </si>
  <si>
    <t>D1.14-1.17</t>
  </si>
  <si>
    <t>Remove existing carpet tile flooring in its entirety down to concrete slab incl. wall base</t>
  </si>
  <si>
    <t>D1.16</t>
  </si>
  <si>
    <t>Remove existing wall finishes</t>
  </si>
  <si>
    <t>Remove single door threshold</t>
  </si>
  <si>
    <t>D1.12</t>
  </si>
  <si>
    <t>Remove and dispose existing (2'-1" W) countertop</t>
  </si>
  <si>
    <t>D1.15-1.16</t>
  </si>
  <si>
    <t>Remove and dispose existing (2'-6" W) countertop</t>
  </si>
  <si>
    <t>Remove and dispose existing countertop</t>
  </si>
  <si>
    <t>Remove (4'-7" W) millwork</t>
  </si>
  <si>
    <t>Remove (2'-7" W) millwork</t>
  </si>
  <si>
    <t>Remove (2'-1" W) millwork</t>
  </si>
  <si>
    <t>Remove undercounter refrigerator</t>
  </si>
  <si>
    <t>Remove ADA Automatic door button</t>
  </si>
  <si>
    <t>Note 47</t>
  </si>
  <si>
    <t>Remove toilet accessories = 1 Toilet</t>
  </si>
  <si>
    <t>Remove (12" W) upper cabinets</t>
  </si>
  <si>
    <t>Remove wall tile</t>
  </si>
  <si>
    <t>D1.15</t>
  </si>
  <si>
    <t>Remove existing columns = 10' H</t>
  </si>
  <si>
    <t>D1.14</t>
  </si>
  <si>
    <t>Note 33</t>
  </si>
  <si>
    <t>Remove existing (23'-9"x7'-4") window</t>
  </si>
  <si>
    <t>Note 51</t>
  </si>
  <si>
    <t>Sawcut concrete slab as required</t>
  </si>
  <si>
    <t>Note 20</t>
  </si>
  <si>
    <t>D1.14-1.16</t>
  </si>
  <si>
    <t>Remove existing hard ceiling</t>
  </si>
  <si>
    <t>D2.15, 2.18</t>
  </si>
  <si>
    <t>Note 14</t>
  </si>
  <si>
    <t>D2.15 - 2.18</t>
  </si>
  <si>
    <t>Remove existing ACT Ceiling and grid system</t>
  </si>
  <si>
    <t>Remove existing gypsum board furring wall</t>
  </si>
  <si>
    <t>Note 36</t>
  </si>
  <si>
    <t>Remove existing gypsum board partition wall</t>
  </si>
  <si>
    <t>D1.14-1.18</t>
  </si>
  <si>
    <t>2/A8.11</t>
  </si>
  <si>
    <t>A1.14-1.19</t>
  </si>
  <si>
    <t xml:space="preserve">(4"x8") Precast concrete lintel </t>
  </si>
  <si>
    <t>A1.14-1.15</t>
  </si>
  <si>
    <t>Wall Sche. @ A5.60</t>
  </si>
  <si>
    <t>(8" Thk.) Reinforced grouted CMU wall</t>
  </si>
  <si>
    <t>Furring wall type F1 as:</t>
  </si>
  <si>
    <t>(25 GA.) Metal studs @ 16" O.C.</t>
  </si>
  <si>
    <t>(1 Layer, 5/8" Thk.) Gypsum wall board</t>
  </si>
  <si>
    <t>Furring wall type 8B3 as:</t>
  </si>
  <si>
    <t>(1-5/8") 25 GA. Top and bottom metal tracks</t>
  </si>
  <si>
    <t>(1-5/8") 25 GA. Metal studs @ 16" O.C.</t>
  </si>
  <si>
    <t>Sealant @ top and bottom on one side</t>
  </si>
  <si>
    <t>Partition wall type 6W as:</t>
  </si>
  <si>
    <t>(1 Layer, 5/8" Thk.) Abuse resistant gypsum wall board on both sides</t>
  </si>
  <si>
    <t>(5-5/8") 20 GA. Top and bottom metal tracks</t>
  </si>
  <si>
    <t>(5-5/8") 20 GA. Metal studs @ 16" O.C.</t>
  </si>
  <si>
    <t>(5" Thk.) Unfaced sound attenuation blanket</t>
  </si>
  <si>
    <t>Sealant @ top and bottom on both sides</t>
  </si>
  <si>
    <t>Partition wall type 6W*2 as:</t>
  </si>
  <si>
    <t>(1 Layer, 5/8" Thk.) Tile backing board on both sides</t>
  </si>
  <si>
    <t>Partition wall type 4W*1 as:</t>
  </si>
  <si>
    <t>(3" Thk.) Unfaced sound attenuation blanket</t>
  </si>
  <si>
    <t>(3-5/8") 20 GA. Top and bottom metal tracks</t>
  </si>
  <si>
    <t>(3-5/8") 20 GA. Metal studs @ 16" O.C.</t>
  </si>
  <si>
    <t>A1.14</t>
  </si>
  <si>
    <t>2/A5.40</t>
  </si>
  <si>
    <t>Brick veneer as:
- Brick veneer
- Rigid insulation
- Vapor barrier</t>
  </si>
  <si>
    <t>7/A8.11</t>
  </si>
  <si>
    <t>(6"x2") Stone sill</t>
  </si>
  <si>
    <t>A5.61</t>
  </si>
  <si>
    <t>Solid surface countertop (SS-1)</t>
  </si>
  <si>
    <t>(4" H) Solid surface backsplash and sidesplash (SS-1)</t>
  </si>
  <si>
    <t>A1.15-1.17</t>
  </si>
  <si>
    <t>Vinyl wall covering backsplash (WC-1)</t>
  </si>
  <si>
    <t>A7.11</t>
  </si>
  <si>
    <t>Finish Sche @ A4.00</t>
  </si>
  <si>
    <t>A7.10, 7.14</t>
  </si>
  <si>
    <t>(3'-0" H, 2'-1" D) Base cabinets</t>
  </si>
  <si>
    <t>(7' H, 2' D) Built-in storage cubbies</t>
  </si>
  <si>
    <t>7/A5.61</t>
  </si>
  <si>
    <t>(2' D, 7'-0 H) Millwork cabinet</t>
  </si>
  <si>
    <t>A4.14</t>
  </si>
  <si>
    <t>5/A5.61</t>
  </si>
  <si>
    <t>Remove, store and reinstall existing countertop</t>
  </si>
  <si>
    <t>A4.12</t>
  </si>
  <si>
    <t>Note 7</t>
  </si>
  <si>
    <t>(3'-2"x7'-0") Window panel = 2 EA</t>
  </si>
  <si>
    <t>A1.17</t>
  </si>
  <si>
    <t>Note 31</t>
  </si>
  <si>
    <t>(7"x7'-4") Break metal filler panel to match existing lockers</t>
  </si>
  <si>
    <t>Note 28</t>
  </si>
  <si>
    <t>(10"x7'-4") Break metal filler panel to match existing lockers</t>
  </si>
  <si>
    <t>(4"x7'-4") Break metal filler panel to match existing lockers</t>
  </si>
  <si>
    <t>Note 30</t>
  </si>
  <si>
    <t>(3'-0"x1'-6"x7'-4") Lockers</t>
  </si>
  <si>
    <t>Note 29</t>
  </si>
  <si>
    <t>Concrete base for lockers</t>
  </si>
  <si>
    <t>Metal flashing</t>
  </si>
  <si>
    <t>(20 GA.) Alum. break metal enclosure</t>
  </si>
  <si>
    <t>(20 GA.) Alum. break metal enclosure cover at corner</t>
  </si>
  <si>
    <t>(20 GA.) Alum. break metal sill enclosure w/ blocking</t>
  </si>
  <si>
    <t>OPERABLE PARTITIONS</t>
  </si>
  <si>
    <t>Note 25</t>
  </si>
  <si>
    <t>(25'-5" W x 8'-8" H) Folding partition</t>
  </si>
  <si>
    <t>A1.31, 1.34</t>
  </si>
  <si>
    <t>Pitch pocket flashing</t>
  </si>
  <si>
    <t>3/A5.43</t>
  </si>
  <si>
    <t>Metal plate at roof infill</t>
  </si>
  <si>
    <t>3/A5.42</t>
  </si>
  <si>
    <t>Roof infill as:
- EPDM Membrane to match existing
- Bonding adhesive
- Polyiso cover board
- Insulation to match existing
- Infill w/ flat insulation thickness as required</t>
  </si>
  <si>
    <t>Remove existing roof system back to deck</t>
  </si>
  <si>
    <t>A2.15-2.19</t>
  </si>
  <si>
    <t>ACOUSTICAL PANEL CEILINGS</t>
  </si>
  <si>
    <t>ACT Ceiling to match existing</t>
  </si>
  <si>
    <t>ACT Ceiling w/ grid system to match existing</t>
  </si>
  <si>
    <t>Support beam
- Detail is not provided</t>
  </si>
  <si>
    <t>A2.15</t>
  </si>
  <si>
    <t>A4.04-4.18</t>
  </si>
  <si>
    <t>A4.04-4.17</t>
  </si>
  <si>
    <t>A4.04 - 4.10</t>
  </si>
  <si>
    <t>Luxury vinyl tile flooring (LVT-1 - 17) w/ self leveling underlayment 
- Pattern to be followed</t>
  </si>
  <si>
    <t>Rubber sheet flooring (RT-2) w/ self leveling underlayment</t>
  </si>
  <si>
    <t>Carpet tile flooring (C-1 - 5) w/ self leveling underlayment</t>
  </si>
  <si>
    <t>A4.10, 4.14</t>
  </si>
  <si>
    <t>Rubber tread and riser (RT-1)</t>
  </si>
  <si>
    <t>A4.14, 4.18</t>
  </si>
  <si>
    <t>(4" H) Schluter base (B-2)</t>
  </si>
  <si>
    <t>(4" H) Cove base (B-1)</t>
  </si>
  <si>
    <t>A4.00-4.17</t>
  </si>
  <si>
    <t>Transition strip (C)</t>
  </si>
  <si>
    <t>Johnsonite CE-20 charcoal WG A transition (A)</t>
  </si>
  <si>
    <t>A4.00-4.18</t>
  </si>
  <si>
    <t>H/A4.00</t>
  </si>
  <si>
    <t>Tarkett stair nosing (H)</t>
  </si>
  <si>
    <t>C/A4.00</t>
  </si>
  <si>
    <t>A/A4.00</t>
  </si>
  <si>
    <t>ADA Saddle (E)</t>
  </si>
  <si>
    <t>A4.18</t>
  </si>
  <si>
    <t>E/A4.00</t>
  </si>
  <si>
    <t>Door threshold</t>
  </si>
  <si>
    <t>A1.12, 1.14</t>
  </si>
  <si>
    <t>Ceramic wall tile (WT-1, 2) w/ waterproofing membrane</t>
  </si>
  <si>
    <t>Porcelain floor tile (FT-1) w/ 
- Waterproofing membrane
- Self leveling underlayment</t>
  </si>
  <si>
    <t>A1.12</t>
  </si>
  <si>
    <t>Temporary porcelain tile flooring w/ waterproofing membrane to match existing at slab infill</t>
  </si>
  <si>
    <t>2/A5.46</t>
  </si>
  <si>
    <r>
      <t xml:space="preserve">Resinous flooring as:
- Top coat.
- Body coat w/ aggregate
- Primer
- Pre-primer
</t>
    </r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1:</t>
    </r>
    <r>
      <rPr>
        <sz val="11"/>
        <color theme="1"/>
        <rFont val="Arial"/>
        <family val="2"/>
      </rPr>
      <t xml:space="preserve"> Prepare existing ceramic tile flooring to except pre-primer as recommended</t>
    </r>
  </si>
  <si>
    <r>
      <t xml:space="preserve">Resinous flooring at slab infill as:
- Top coat.
- Body coat w/ aggregate
- Primer
- Self leveling underlayment 
</t>
    </r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1:</t>
    </r>
    <r>
      <rPr>
        <sz val="11"/>
        <color theme="1"/>
        <rFont val="Arial"/>
        <family val="2"/>
      </rPr>
      <t xml:space="preserve"> Prepare existing topping slab to except primer as recommended</t>
    </r>
  </si>
  <si>
    <t>1/A5.46</t>
  </si>
  <si>
    <t>5/A5.46</t>
  </si>
  <si>
    <t>Acoustic panel wall (AP-1 - AP-8)</t>
  </si>
  <si>
    <t>Acoustic panel wall (AP-9, 10)</t>
  </si>
  <si>
    <t>A7.12</t>
  </si>
  <si>
    <t>Vinyl wall covering (WC-1)</t>
  </si>
  <si>
    <t>A7.13-7.14</t>
  </si>
  <si>
    <t>Paint existing steel dunnage</t>
  </si>
  <si>
    <t>A1.31</t>
  </si>
  <si>
    <t>Note 9</t>
  </si>
  <si>
    <t>Paint gas lines</t>
  </si>
  <si>
    <t>Paint ductwork</t>
  </si>
  <si>
    <t>A4.10</t>
  </si>
  <si>
    <t>Prime and paint walls</t>
  </si>
  <si>
    <t>Prime and paint wall accent band</t>
  </si>
  <si>
    <t>A7.16</t>
  </si>
  <si>
    <t>Prime and paint columns</t>
  </si>
  <si>
    <t>Prime and paint beams</t>
  </si>
  <si>
    <t>Paint single door w/ frame</t>
  </si>
  <si>
    <t>A8.10</t>
  </si>
  <si>
    <t>See Door Sche.</t>
  </si>
  <si>
    <t>Paint double door w/ frame</t>
  </si>
  <si>
    <t>Prime and paint ceiling and soffit</t>
  </si>
  <si>
    <t>A2.15-2.16</t>
  </si>
  <si>
    <t>(6'-0"x3'-10") Wall mounted marker booard</t>
  </si>
  <si>
    <t>A1.15-1.19</t>
  </si>
  <si>
    <t>See Legend</t>
  </si>
  <si>
    <t>Wall mounted smart panel</t>
  </si>
  <si>
    <t>(6' W) Wall mounted tackboard</t>
  </si>
  <si>
    <t>(8' W) Wall mounted tackboard</t>
  </si>
  <si>
    <t>Change table</t>
  </si>
  <si>
    <t>Note 132</t>
  </si>
  <si>
    <t>A7.10</t>
  </si>
  <si>
    <t>(42" L) Grab bar</t>
  </si>
  <si>
    <t>(18" L) Grab bar</t>
  </si>
  <si>
    <t>Toilet paper dispenser</t>
  </si>
  <si>
    <t>(1'-6"x2'-6") Mirror</t>
  </si>
  <si>
    <t>Soap dispenser</t>
  </si>
  <si>
    <t>Remove, store and reinstall existing tackboard</t>
  </si>
  <si>
    <t>A1.15</t>
  </si>
  <si>
    <t>Remove existing concrete slab for sewer line
- Assumed thickness = 1'-6" Thk.</t>
  </si>
  <si>
    <t>A5.46</t>
  </si>
  <si>
    <t>Concrete slab infill as:
- (6" Thk.) Reinforced concrete slab w/ 6x6 W1.4xW1.4 WWF
- (10 Mil.) Vapor barrier
- (12" Thk.) Compacted gravel
- Compacted fill
- Dowelled into existing slab</t>
  </si>
  <si>
    <t>Self levelling concrete at washroom removal location</t>
  </si>
  <si>
    <t>A1.18</t>
  </si>
  <si>
    <t>L-Shaped self adhered flashing</t>
  </si>
  <si>
    <t>A5.10</t>
  </si>
  <si>
    <t>A1.34</t>
  </si>
  <si>
    <t>Counter flashing</t>
  </si>
  <si>
    <t>Fire extinguisher cabinet</t>
  </si>
  <si>
    <t>A1.19</t>
  </si>
  <si>
    <t>A8.20</t>
  </si>
  <si>
    <t>(4'-0"x4'-0") Fire rated window incl.
- (45 Min. Rated) Hollow metal panel = 8 SF
- (45 Min. Rated) Bullet resistant glazing = 8 SF
- (1'-2"x1'-2") 20 Min. Fire rated S.S Package exchanger</t>
  </si>
  <si>
    <t>See Sche.</t>
  </si>
  <si>
    <t>(7'-7"x11'-4") Alum. Storefront incl. 
- (60 Min. Rated, 3'-0"x7'-0") Alum. Door
- Spandrel glass = 18 SF</t>
  </si>
  <si>
    <t>(5'-7"x11'-4") Alum. Storefront incl. 
- (60 Min. Rated, 3'-0"x7'-0") Alum. Door
- (3/4" Thk.) Plywood = 14 SF</t>
  </si>
  <si>
    <t>(7'-8"x11'-4") Alum. Storefront incl.
- (3/4" Thk.) Plywood = 18 SF</t>
  </si>
  <si>
    <t>(5'-2"x7'-4") Alum. Window incl.
- Insulated metal panel = 12 SF</t>
  </si>
  <si>
    <t>(13'-6"x7'-4") Alum. Window incl.
- Insulated metal panel = 30 SF</t>
  </si>
  <si>
    <t>Decorative window film</t>
  </si>
  <si>
    <t>Note 5</t>
  </si>
  <si>
    <t>(20 Min. Rated, 3'-0"x7'-0") Type 1, WD Door w/ type F1, frame</t>
  </si>
  <si>
    <t>(60 Min. Rated, 6'-0"x7'-0") Type 2, Double WD Door w/ type F2, frame</t>
  </si>
  <si>
    <t>(20 Min. Rated, 6'-0"x7'-0") Type 2, Double WD Door w/ type F2, frame</t>
  </si>
  <si>
    <t>(20 Min. Rated, 3'-0"x7'-0") Type 3, WD Door w/ type F1, frame incl.
- Vision panel</t>
  </si>
  <si>
    <t>(60 Min. Rated, 3'-0"x7'-0") Type 3, WD Door w/ type F1, frame incl.
- Vision panel</t>
  </si>
  <si>
    <t>(20 Min. Rated, 6'-0"x7'-0") Type 4, WD Double Door w/ type F2, frame incl.
- Vision panel = 2 EA</t>
  </si>
  <si>
    <t>(20 Min. Rated, 3'-0"x7'-0") Type 5, WD Door w/ type F1, frame incl.
- Vision panel</t>
  </si>
  <si>
    <t>Door hardware</t>
  </si>
  <si>
    <t>Remove, store and reinstall (6"X9") door signage</t>
  </si>
  <si>
    <t>1/A8.10</t>
  </si>
  <si>
    <t>G.C. Shall perform a minimum of two (2) hand-dug test pits at locations where the sewer pipe exits the building, along the foundation wall (At the kitchen)</t>
  </si>
  <si>
    <t>General Demolition Note GD1</t>
  </si>
  <si>
    <t>(20 GA.) Alum. break metal enclosure at wall end</t>
  </si>
  <si>
    <t>A1.17-1.18</t>
  </si>
  <si>
    <t>1/A6.20</t>
  </si>
  <si>
    <t>3/A6.20</t>
  </si>
  <si>
    <t>2/A6.20</t>
  </si>
  <si>
    <t>(1-5/8"x1") Aluminum chanel mullion</t>
  </si>
  <si>
    <t>1/A7.20</t>
  </si>
  <si>
    <t>GENERAL PROJECT ALLOWANCE ALLOCATION #1</t>
  </si>
  <si>
    <t>GENERAL PROJECT ALLOWANCE ALLOCATION #2</t>
  </si>
  <si>
    <t>Misc. Blocking</t>
  </si>
  <si>
    <t>Misc. Firestopping</t>
  </si>
  <si>
    <t>Misc. Sealant</t>
  </si>
  <si>
    <t>Manually operated, single-roller shades</t>
  </si>
  <si>
    <t>FP1.1-1.4</t>
  </si>
  <si>
    <t>Modify the existing sprinkler system and add sprinklers as required to accommodate the new room, ceiling heights and layouts. Modify the existing sprinkler system as required to provide a complete sprinkler system in accordance with nfpa 13.</t>
  </si>
  <si>
    <t>Water Pipe (TYPE "L" COPPER)</t>
  </si>
  <si>
    <t>1 1/2" COLD WATER PIPE</t>
  </si>
  <si>
    <t>1/2" COLD WATER PIPE</t>
  </si>
  <si>
    <t>1/2" HOT WATER PIPE</t>
  </si>
  <si>
    <t>3/4" HOT WATER PIPE</t>
  </si>
  <si>
    <t>NOTE: PIPE MATERIAL IS ASSUMED</t>
  </si>
  <si>
    <t>FITTING</t>
  </si>
  <si>
    <t>1/2" 90 DEGREE ELBOW</t>
  </si>
  <si>
    <t>Sanitary Pipe (SCHE 40 PVC)</t>
  </si>
  <si>
    <t>2" VENT PIPE</t>
  </si>
  <si>
    <t>1 1/2" SANITARY PIPE</t>
  </si>
  <si>
    <t>1-1/2" WASTE PIPE</t>
  </si>
  <si>
    <t>2" SANITARY PIPE</t>
  </si>
  <si>
    <t>4" SANITARY PIPE</t>
  </si>
  <si>
    <t>6" SANITARY PIPE</t>
  </si>
  <si>
    <t>1 1/2" 45 DEGREE ELBOW</t>
  </si>
  <si>
    <t>2" 45 DEGREE ELBOW</t>
  </si>
  <si>
    <t>2" 90 DEGREE ELBOW</t>
  </si>
  <si>
    <t>4" 45 DEGREE ELBOW</t>
  </si>
  <si>
    <t>6" 45 DEGREE ELBOW</t>
  </si>
  <si>
    <t>1 1/2" P-TRAP</t>
  </si>
  <si>
    <t>2" WYE</t>
  </si>
  <si>
    <t>4" TO 2" WYE</t>
  </si>
  <si>
    <t>6" TO 4" WYE</t>
  </si>
  <si>
    <t>6" WYE</t>
  </si>
  <si>
    <t>2" TEE</t>
  </si>
  <si>
    <t>Gas Pipe (BLACK STEEL)</t>
  </si>
  <si>
    <t>1 1/2" GAS PIPE</t>
  </si>
  <si>
    <t>1 1/4" GAS PIPE</t>
  </si>
  <si>
    <t>1 1/2" 90 DEGREE ELBOW</t>
  </si>
  <si>
    <t>1 1/4" 90 DEGREE ELBOW</t>
  </si>
  <si>
    <t>VTR, 2" VENT THRU ROOF</t>
  </si>
  <si>
    <t>CO, 2" CLEAN OUT</t>
  </si>
  <si>
    <t>CO, 4" CLEAN OUT</t>
  </si>
  <si>
    <t>CO, 6" CLEAN OUT</t>
  </si>
  <si>
    <t>P-1, WATER CLOSET WITH ELONGATE OPEN FRONT SEAT 1.28 G.P.F_x000D_
MANUFACTURER: AMERICAN STANDARD _x000D_
MODE;" BABY DEVORO 2315.228</t>
  </si>
  <si>
    <t>P-2, LAVATORY WITH 0.5 GPM METERING FAUCET AND MIXING VALVE _x000D_
ACORN: ST70CP-38-MB, STOPS WITH LOOSE KEY SUPPLIES _x000D_
MANUFACTURER: AMARICAN STANDARD_x000D_
MODEL: LUCERNE 0355.912</t>
  </si>
  <si>
    <t>P-3, STAINLESS STEEL SINK WITH FAUCET, BUBBLER AND THERMOSTATIC MIXING VALVE, ICC/ANSI A117.1-2017 COMPLIANT _x000D_
MANUFACTURER: ELKAY_x000D_
MODEL: DRKAD 251750C</t>
  </si>
  <si>
    <t>VALVE</t>
  </si>
  <si>
    <t>1 1/2" BALL VALVE</t>
  </si>
  <si>
    <t>1/2" BALL VALVE</t>
  </si>
  <si>
    <t>SHOCK ARRESTOR_x000D_
Z-1700 SERIES #100 _x000D_
J.R.SMITH HYDROTROL NO. 5005</t>
  </si>
  <si>
    <t>SHOCK ARRESTOR_x000D_
Z-1700 SERIES #300 _x000D_
J.R.SMITH HYDROTROL NO. 5020</t>
  </si>
  <si>
    <t>SHOCK ARRESTOR_x000D_
Z-1700 SERIES #400 _x000D_
J.R.SMITH HYDROTROL NO. 5030</t>
  </si>
  <si>
    <t>Hanger And Supports</t>
  </si>
  <si>
    <r>
      <t xml:space="preserve">16 GAUGE GALVANIZED STEEL SHIELD ADJUSTABLE CLEVIS HANGER FOR PLUMBING PIPING 
</t>
    </r>
    <r>
      <rPr>
        <sz val="11"/>
        <color rgb="FFFF0000"/>
        <rFont val="Arial"/>
        <family val="2"/>
      </rPr>
      <t>NOTE: 10' PIPE HANGER SPACING IS ASSUMED</t>
    </r>
  </si>
  <si>
    <t/>
  </si>
  <si>
    <t>Insulation</t>
  </si>
  <si>
    <r>
      <t xml:space="preserve">1" THICK FIBERGLASS INSULATION FOR DOMESTIC PIPE 
</t>
    </r>
    <r>
      <rPr>
        <sz val="11"/>
        <color rgb="FFFF0000"/>
        <rFont val="Arial"/>
        <family val="2"/>
      </rPr>
      <t>NOTE: INSULATION THICKNESS IS ASSUMED</t>
    </r>
  </si>
  <si>
    <t>REMOVAL</t>
  </si>
  <si>
    <t>REMOVAL LAVATORY WITH ASSOCIATED PIPING BACK  TO NEAREST STACK RISER</t>
  </si>
  <si>
    <t>REMOVAL SINK WITH ASSOCIATED PIPING BACK  TO NEAREST STACK RISER</t>
  </si>
  <si>
    <t>REMOVAL WATER CLOSET WITH ASSOCIATED PIPING BACK  TO NEAREST STACK RISER</t>
  </si>
  <si>
    <t>REMOVAL WATER COOLER WITH ASSOCIATED PIPING BACK  TO NEAREST STACK RISER</t>
  </si>
  <si>
    <t>DUCTS (GALVANIZED STEEL)</t>
  </si>
  <si>
    <t>8"X4" FLEXIBLE DUCT</t>
  </si>
  <si>
    <t>12"X10" FLEXIBLE DUCT</t>
  </si>
  <si>
    <t>12"X12" TRANSFER DUCT</t>
  </si>
  <si>
    <t>8"X4" RECTANGULAR DUCT</t>
  </si>
  <si>
    <t>12"X10" RECTANGULAR DUCT</t>
  </si>
  <si>
    <t>14"X12" RECTANGULAR DUCT</t>
  </si>
  <si>
    <t>14"X14" RECTANGULAR DUCT</t>
  </si>
  <si>
    <t>15"X15" RECTANGULAR DUCT</t>
  </si>
  <si>
    <t>16"X10" RECTANGULAR DUCT</t>
  </si>
  <si>
    <t>26"X14" RECTANGULAR DUCT</t>
  </si>
  <si>
    <t>36"X14" RECTANGULAR DUCT</t>
  </si>
  <si>
    <t>50"X30" RECTANGULAR DUCT</t>
  </si>
  <si>
    <t>NOTE: DUCT  MATERIAL IS ASSUMED</t>
  </si>
  <si>
    <t>Fitting</t>
  </si>
  <si>
    <t>14"X12" 45 DEGREE ELBOW</t>
  </si>
  <si>
    <t>14"X14" 90 DEGREE ELBOW</t>
  </si>
  <si>
    <t>26"X14" 45 DEGREE ELBOW</t>
  </si>
  <si>
    <t>12"X10" 45 DEGREE ELBOW</t>
  </si>
  <si>
    <t>36"X14" 90 DEGREE ELBOW</t>
  </si>
  <si>
    <t>8"X4" 90 DEGREE ELBOW</t>
  </si>
  <si>
    <t>12"X10" BRANCH TAKE-OFF</t>
  </si>
  <si>
    <t>14"X12" BRANCH TAKE-OFF</t>
  </si>
  <si>
    <t>26"X14" BRANCH TAKE-OFF</t>
  </si>
  <si>
    <t>12"X10" DUCT END CAP</t>
  </si>
  <si>
    <t>14"X12" DUCT END CAP</t>
  </si>
  <si>
    <t>16"X10" DUCT END CAP</t>
  </si>
  <si>
    <t>26"X14" DUCT END CAP</t>
  </si>
  <si>
    <t>36"X14" DUCT END CAP</t>
  </si>
  <si>
    <t>8"X4" END CAP</t>
  </si>
  <si>
    <t>12"X12" (1/4" X 1/4") WIRE MESH SCREEN</t>
  </si>
  <si>
    <t>14"X14" TO 12"X10" TRANSITION</t>
  </si>
  <si>
    <t>15"X15" TO 14"X14" TRANSITION</t>
  </si>
  <si>
    <t>PIPES (BLACK STEEL)</t>
  </si>
  <si>
    <t>1 1/2" NATURAL GAS PIPE</t>
  </si>
  <si>
    <t>1 1/4" NATURAL GAS PIPE</t>
  </si>
  <si>
    <t>HANGER AND SUPPORTS</t>
  </si>
  <si>
    <t>Duct</t>
  </si>
  <si>
    <t>ROOF DUCT SUPPORTS</t>
  </si>
  <si>
    <t>Pipe</t>
  </si>
  <si>
    <t>A, 24"X24" ALUMINUM SUPPLY DIFFUSER, ROUND NECK, 3 CONE, FULL FACE_x000D_
MODEL: ASCD</t>
  </si>
  <si>
    <t>A, 24"X24" ALUMINUM SUPPLY DIFFUSER,(100 CFM) ROUND NECK, 3 CONE, FULL FACE_x000D_
MODEL: ASCD</t>
  </si>
  <si>
    <t>A, 24"X24" ALUMINUM SUPPLY DIFFUSER,(200 CFM) ROUND NECK, 3 CONE, FULL FACE_x000D_
MODEL: ASCD</t>
  </si>
  <si>
    <t>A, 24"X24" ALUMINUM SUPPLY DIFFUSER,(300 CFM) ROUND NECK, 3 CONE, FULL FACE_x000D_
MODEL: ASCD</t>
  </si>
  <si>
    <t>B, 24"X24" ALUMINUM RETURN GRILLE, 3/4" SPACING, SINGLE BLADE, FIXED ZERO DEGREE DEFLECTION, BLADES PARALLEL TO THE LONG DIMENSION_x000D_
MODEL: 610ZDAL</t>
  </si>
  <si>
    <t>ITEMS</t>
  </si>
  <si>
    <t>SENSOR FOR RTU</t>
  </si>
  <si>
    <t>ECUH-1, ELECTRIC CABINET UNIT HEATER (300 CFM) _x000D_
TAMPER RESISTANT FRONT COVER WITH DISCONNECT SWITCH AND MOTOR STATER &amp; TRANSFORMER_x000D_
DIMENSION: 20L X16 1/2W X5 3/4D _x000D_
MODEL:FFCH-548_x000D_
MANUFACTURER: BERKO OR EQUIVALENT</t>
  </si>
  <si>
    <t>ECUH-2, ELECTRIC CABINET UNIT HEATER (300 CFM) _x000D_
TAMPER RESISTANT FRONT COVER WITH DISCONNECT SWITCH AND MOTOR STATER &amp; TRANSFORMER_x000D_
DIMENSION: 20L X16 1/2W X5 3/4D _x000D_
MODEL:FFCH-548_x000D_
MANUFACTURER: BERKO OR EQUIVALENT</t>
  </si>
  <si>
    <t>ECUH-3, ELECTRIC CABINET UNIT HEATER (100 CFM) _x000D_
MANUFACTURER SURFACE MOUNTED FRAME AND TAMPER RESISTANT FRONT COVER WITH DISCONNECT SWITCH AND MOTOR STATER &amp; TRANSFORMER_x000D_
DIMENSION: 19 5/16L X15 3/4W X5D _x000D_
MODEL:CWH3150F</t>
  </si>
  <si>
    <t>RTU-7, PACKAGE DOWNFLOW RTU (GAS/DX) 3400 CFM _x000D_
MODEL: YSJ120</t>
  </si>
  <si>
    <t>RTU-3E, 3400 CFM PACKAGED ROOFTOP UNIT _x000D_
MODEL: HORIZON OAK/N REV 5</t>
  </si>
  <si>
    <t>AS-1, RECTANGULAR ACOUSTICAL SILENCER (800 CFM) _x000D_
MODEL: RD-HV-F3</t>
  </si>
  <si>
    <t>AS-2, STRAIGHT ACOUSTICAL SILENCER (800 CFM) _x000D_
MODEL: RD-HV-F7</t>
  </si>
  <si>
    <t>RELOCATION</t>
  </si>
  <si>
    <t>RELOCATION BMS CONTROL PANEL</t>
  </si>
  <si>
    <t xml:space="preserve">RELOCATION RETURN GRILLE </t>
  </si>
  <si>
    <t>RELOCATION THERMOSTATE</t>
  </si>
  <si>
    <t>REMOVAL DUCT</t>
  </si>
  <si>
    <t>REMOVAL NG GAS PIPE</t>
  </si>
  <si>
    <t>REMOVAL EXHAUST GRILLE AND ASSOCIATED DUCT</t>
  </si>
  <si>
    <t>REMOVAL GRILLE &amp; DIFFUSERAND ASSOCIATED FLEXIBLE DUCT</t>
  </si>
  <si>
    <t>REMOVAL HORIZONTAL DISCHARGE PACKAGED</t>
  </si>
  <si>
    <t>REMOVAL PIECE OF HVAC EQUIPMENT WITH POWER AND PIPE ETC.</t>
  </si>
  <si>
    <t>REMOVAL WALL MOUNTED ELECTRIC FIN TUBE RADIATION</t>
  </si>
  <si>
    <t>CONNECTION</t>
  </si>
  <si>
    <t>EXTEND DUCT CONNECTION FOR RELOCATION OF GRILLE</t>
  </si>
  <si>
    <t>EXTEND FLEXIBLE DUCT CONNECTION FOR RECONNECTING OF GRILLE &amp; DIFFUSER</t>
  </si>
  <si>
    <t>RECONNECT</t>
  </si>
  <si>
    <t>RECONNECT AFTER CLEANING GRILLE AND DIFFUSER</t>
  </si>
  <si>
    <t>BALANCE CFM EXISTING GRILLE &amp; DIFFUSER</t>
  </si>
  <si>
    <t>DISTRIBUTATION</t>
  </si>
  <si>
    <t>BREAKERS</t>
  </si>
  <si>
    <t>20A/1P CIRCUIT BREAKER</t>
  </si>
  <si>
    <t>20A/2P CIRCUIT BREAKER</t>
  </si>
  <si>
    <t>80A/3P CIRCUIT BREAKER</t>
  </si>
  <si>
    <t>3/4"C EMT</t>
  </si>
  <si>
    <t>3/4"C FLEX S</t>
  </si>
  <si>
    <t>#12 THHN SOLID</t>
  </si>
  <si>
    <t>CAT5 CABLE</t>
  </si>
  <si>
    <t>FX BUS (CAT5 CABLE)</t>
  </si>
  <si>
    <t>1"C PVC</t>
  </si>
  <si>
    <t>#10 THHN SOLID</t>
  </si>
  <si>
    <t>#10 THW SOLID</t>
  </si>
  <si>
    <t>#12 THW SOLID</t>
  </si>
  <si>
    <t>TAMPER RESISTANT DUPLEX RECEPTACLE</t>
  </si>
  <si>
    <t>TAMPER RESISTANT DUPLEX RECEPTACLE CEILING MOUNTED</t>
  </si>
  <si>
    <t>TAMPER RESISTANT QUAD RECEPTACLE</t>
  </si>
  <si>
    <t>TAMPER RESISTANT QUAD RECEPTACLE GFCI</t>
  </si>
  <si>
    <t>LIGHTING FIXTURE</t>
  </si>
  <si>
    <t>A1,2X4 TROFFER LIGHT FIXTURE _x000D_
MANUFACTURER: COOPER_x000D_
MODEL: 24CZSCT3-UNVLOW_x000D_
DRIVER: ELECTRONIC</t>
  </si>
  <si>
    <t>A1-EM,2X4 TROFFER LIGHT FIXTURE WITH BATTERY BACKUP_x000D_
MANUFACTURER: COOPER_x000D_
MODEL: 24CZSCT3-UNVLOW _x000D_
DRIVER: ELECTRONIC</t>
  </si>
  <si>
    <t>A2,2X4 TROFFER LIGHT FIXTURE _x000D_
MANUFACTURER: COOPER_x000D_
MODEL: 24CZSCT3-UNV MEDIUM_x000D_
DRIVER: ELECTRONIC</t>
  </si>
  <si>
    <t>A2-EM,2X4 TROFFER LIGHT FIXTURE WITH BATTERY BACKUP_x000D_
MANUFACTURER: COOPER_x000D_
MODEL: 24CZSCT3-UNV MEDIUM_x000D_
DRIVER: ELECTRONIC</t>
  </si>
  <si>
    <t>A3,2X4 TROFFER LIGHT FIXTURE _x000D_
MANUFACTURER: COOPER_x000D_
MODEL: 24CZSCT3-UNV _x000D_
DRIVER: ELECTRONIC</t>
  </si>
  <si>
    <t>A3-EM,2X4 TROFFER LIGHT FIXTURE WITH BATTERY BACKUP_x000D_
MANUFACTURER: COOPER_x000D_
MODEL: 24CZSCT3-UNV _x000D_
DRIVER: ELECTRONIC</t>
  </si>
  <si>
    <t>B4, LED DIRECT/INDIRECT RING LIGHT FIXTURE _x000D_
MANUFACTURER: LIGHTING ELEMENTS_x000D_
MODEL: NAL #RING-DS-60100-1200-10500LM-D-80-35K-COLOR-_x000D_
DRIVER: ELECTRONIC</t>
  </si>
  <si>
    <t>C1, RECESSED LINEAR LIGHT FIXTURE _x000D_
MANUFACTURER: DAYOLITE  COPPER LIGHTING _x000D_
MODEL: NEORAY #SS124DR-S860D-835-CEILING-32F0-1-UDD-F-W_x000D_
DRIVER: ELECTRONIC</t>
  </si>
  <si>
    <t>C1-EM, RECESSED LINEAR LIGHT FIXTURE WITH BATTERY BACKUP_x000D_
MANUFACTURER: DAYOLITE  COPPER LIGHTING _x000D_
MODEL: NEORAY #SS124DR-S860D-835-CEILING-32F0-1-UDD-F-W_x000D_
DRIVER: ELECTRONIC</t>
  </si>
  <si>
    <t>C2, RECESSED LINEAR LIGHT FIXTURE _x000D_
MANUFACTURER: DAYOLITE  COPPER LIGHTING _x000D_
MODEL: NPRFL-44-D-FL-35-HC-36-TBD-W-DIM10 _x000D_
NEORAY #SS124DR-S860D-835-CEILING-36F0-1-UDD-F-W_x000D_
DRIVER: ELECTRONIC</t>
  </si>
  <si>
    <t>C2-EM, RECESSED LINEAR LIGHT FIXTURE _x000D_
MANUFACTURER: DAYOLITE  COPPER LIGHTING _x000D_
MODEL: NPRFL-44-D-FL-35-HC-36-TBD-W-DIM10 _x000D_
NEORAY #SS124DR-S860D-835-CEILING-36F0-1-UDD-F-W_x000D_
DRIVER: ELECTRONIC</t>
  </si>
  <si>
    <t>F1, 4" RECESSED DOWN LIGHT_x000D_
MANUFACTURER: HALO_x000D_
MODEL: PR4-FS12-D010 _x000D_
PR4M-12-MD-8FS-MW_x000D_
DRIVER: ELECTRONIC</t>
  </si>
  <si>
    <t>F1-EM, 4" RECESSED DOWN LIGHT WITH BATTERY BACKUP_x000D_
MANUFACTURER: HALO_x000D_
MODEL: PR4-FS12-D010 _x000D_
PR4M-12-MD-8FS-MW_x000D_
DRIVER: ELECTRONIC</t>
  </si>
  <si>
    <t>F2, 4" RECESSED DOWN LIGHT_x000D_
MANUFACTURER: HALO_x000D_
MODEL: PR4-FS12-D010 _x000D_
PR4M-12-MD-8FS-MW_x000D_
DRIVER: ELECTRONIC</t>
  </si>
  <si>
    <t>F2-EM, 4" RECESSED DOWN LIGHT WITH BATTERY BACKUP_x000D_
MANUFACTURER: HALO_x000D_
MODEL: PR4-FS12-D010 _x000D_
PR4M-12-MD-8FS-MW_x000D_
DRIVER: ELECTRONIC</t>
  </si>
  <si>
    <t>X, 4" LED EDGE LIT EXIT SIGN WITH BATTERY BACKUP _x000D_
MANUFACTURER: SURE LITE_x000D_
MODEL: ARCEL-7-XX-R-M-XX-SD_x000D_
PR4M-12-MD-8FS-MW_x000D_
DRIVER: ELECTRONIC</t>
  </si>
  <si>
    <t>LIGHTS TYPE F1 AND F2 SHOWN ON THE PLAN, BUT SCHEDULE ARE NOT GIVEN FOR THIS LIGHTES SO WE ARE ASSUMED THAT F LIGHT TYPE IS A F1 AND F2 LIGHT TYPE.</t>
  </si>
  <si>
    <t>LIGHTING SUPPORTS</t>
  </si>
  <si>
    <t>BACK BOX</t>
  </si>
  <si>
    <t>FX-1, NXRCFX2-1RD-UNV_x000D_
NX ROOM CONTROLLER, FX, 1 RELAY, 0-10V DIMMING, POWER MONITORING, UNIVERSAL VOLTAGE</t>
  </si>
  <si>
    <t>FX2, NXRCFX2-2RD-UNV_x000D_
NX ROOM CONTROLLER, FX, 2 RELAY, 0-10V DIMMING, POWER MONITORING, UNIVERSAL VOLTAGE</t>
  </si>
  <si>
    <t>MS1N, LHRMTS1-N-WH_x000D_
LIGHTHAWK NEUTRAL MULTI-TECHNOLOGY WALL SWITCH SENSOR WITH INTELLIDAPT, SINGLE CIRCUIT, ONE BUTTON, 120/277VAC, 1000 SQ. FT., PHOTOCELL</t>
  </si>
  <si>
    <t>MTD, LHRDMMTS2-N-WH_x000D_
LIGHTHAWK2 DIMMER DUAL TECHNOLOGY WALL SWITCH SENSOR WITH INTELLIDAPT, SINGLE RELAY, TWO BUTTONS, 120/277VAC, 1000 SQ. FT.</t>
  </si>
  <si>
    <t>NX, NXSWR-OO-WH_x000D_
NX DIGITAL SWITCH STATION, ON/OFF</t>
  </si>
  <si>
    <t>NX6, NXSWR-6-WH_x000D_
NX DIGITAL TOGGLE SWITCH, 6 BUTTON, MOMENTARY, PILOT</t>
  </si>
  <si>
    <t>NXD, NXSMDT-OMNI_x000D_
NX SENSOR MODULE, DUAL TECH, 360° LENS, WHITE</t>
  </si>
  <si>
    <t>SINGLE POLE SWITCH</t>
  </si>
  <si>
    <t>SAWCUT AND BACK FILL</t>
  </si>
  <si>
    <t>SAWCUT AND BACK FILL FOR PVC CONDUIT</t>
  </si>
  <si>
    <t>PULL STRING</t>
  </si>
  <si>
    <t>CR, CARD READER</t>
  </si>
  <si>
    <t>IC, INTERCOM/CLOCK COMBINATION</t>
  </si>
  <si>
    <t>S, SPEAKER CEILING MOUNTED</t>
  </si>
  <si>
    <t>TELE/COMM OUTLET</t>
  </si>
  <si>
    <t>TELE/COMM OUTLET CEILING MOUNTED</t>
  </si>
  <si>
    <t>SECURITY CAMERA WALL MOUNTED</t>
  </si>
  <si>
    <t>SD, FIRE ALARM SMOKE DETECTOR CEILING MOUNTED</t>
  </si>
  <si>
    <t>SD, SMOKE DETECTOR CEILING MOUNTED</t>
  </si>
  <si>
    <t>RELOCATION SURFACE MOUNTED RACEWAY</t>
  </si>
  <si>
    <t>RELOCATE CEILING RECEPTACLE</t>
  </si>
  <si>
    <t>RELOCATE CO, CARBON MONOXIDE DETECTOR</t>
  </si>
  <si>
    <t>RELOCATE F, COMBINATION FIRE ALARM SPRAKER STROBE</t>
  </si>
  <si>
    <t>RELOCATE HEAT DETECTOR</t>
  </si>
  <si>
    <t>RELOCATE PHONE OUTLET WALL MOUNTED</t>
  </si>
  <si>
    <t>RELOCATE SMOKE DETECTOR</t>
  </si>
  <si>
    <t>RELOCATE TELE/COMM OUTLET</t>
  </si>
  <si>
    <t>RELOCATE TELE/COMU OUTLET CEILING MOUNTED</t>
  </si>
  <si>
    <t>RELOCATE WALL MOUNTED LIGHT</t>
  </si>
  <si>
    <t>RELOCATION 2-HEAD LIGHT</t>
  </si>
  <si>
    <t>RELOCATION BUS RADIO OUTLET</t>
  </si>
  <si>
    <t>RELOCATION FIRE ALARM HORNE STROBE</t>
  </si>
  <si>
    <t>RELOCATION MANUAL PULL STATION</t>
  </si>
  <si>
    <t>RELOCATION PANEL - PP</t>
  </si>
  <si>
    <t>RELOCATION RECEPTACLE</t>
  </si>
  <si>
    <t>RELOCATION SECURITY CAMERA</t>
  </si>
  <si>
    <t>RELOCATION SINGLE POLE SWITCH</t>
  </si>
  <si>
    <t>RELOCATION SPEAKER</t>
  </si>
  <si>
    <t>RELOCATION TELEPHONE OUTLET</t>
  </si>
  <si>
    <t>RELOCATION WALL MOUNTED SPEAKER (DEVICE AND WIRING INSTALL BY OWNER)</t>
  </si>
  <si>
    <r>
      <t xml:space="preserve">REMOVAL CONDUIT AND CONDUCTOR FOR LIGHTING, POWER DEVICES AND LOW VOLTAGE DEVICES </t>
    </r>
    <r>
      <rPr>
        <b/>
        <sz val="11"/>
        <color theme="1"/>
        <rFont val="Arial"/>
        <family val="2"/>
      </rPr>
      <t>(9529.51 SF)</t>
    </r>
  </si>
  <si>
    <t>REMOVAL FEEDER FOR HVAC UNIT TO PANEL HP</t>
  </si>
  <si>
    <t>REMOVAL FEEDER FOR PANEL - PP</t>
  </si>
  <si>
    <t>REMOVAL TROFFER  LIGHTS</t>
  </si>
  <si>
    <t>REMOVAL 3'10" DIA RECESSED LIGHT</t>
  </si>
  <si>
    <t>REMOVAL CIRCUIT BREAKER</t>
  </si>
  <si>
    <t>REMOVAL FLOOR RECEPTACLE</t>
  </si>
  <si>
    <t>REMOVAL HVAC UNIT</t>
  </si>
  <si>
    <t>REMOVAL JUNCTION BOX</t>
  </si>
  <si>
    <t>REMOVAL RECEPTACLE</t>
  </si>
  <si>
    <t>REMOVAL RECESSED LIGHT</t>
  </si>
  <si>
    <t>REMOVAL SMOKE DETECTOR</t>
  </si>
  <si>
    <t>REMOVAL SWITCH</t>
  </si>
  <si>
    <t>REMOVAL TELE/COMM DATA OUTLET</t>
  </si>
  <si>
    <t>REMOVAL WALL MOUNTED LIGHT</t>
  </si>
  <si>
    <t>REINSTALL</t>
  </si>
  <si>
    <t>WIRE MOLD</t>
  </si>
  <si>
    <t>Restore existing surface</t>
  </si>
  <si>
    <r>
      <t xml:space="preserve">1" THICK MINRAL FIBER GLASS DUCT INSULATION 
</t>
    </r>
    <r>
      <rPr>
        <sz val="11"/>
        <color rgb="FFFF0000"/>
        <rFont val="Arial"/>
        <family val="2"/>
      </rPr>
      <t>NOTE: INSULATION MATERIAL AND THICKNESS IS ASSUMED</t>
    </r>
  </si>
  <si>
    <r>
      <t xml:space="preserve">GALVANIZED IRON DUCT HANGER AND SUPPORTS 
</t>
    </r>
    <r>
      <rPr>
        <sz val="11"/>
        <color rgb="FFFF0000"/>
        <rFont val="Arial"/>
        <family val="2"/>
      </rPr>
      <t>NOTE: 10 SPACING IS ASSUMED IN HANGER AND SUPPORTS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</si>
</sst>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[$$-409]* #,##0.00_ ;_-[$$-409]* \-#,##0.00\ ;_-[$$-409]* &quot;-&quot;??_ ;_-@_ "/>
    <numFmt numFmtId="167" formatCode="_-* #,##0.00_-;\-* #,##0.00_-;_-* &quot;-&quot;_-;_-@_-"/>
    <numFmt numFmtId="168" formatCode="_-[$$-409]* #,##0_ ;_-[$$-409]* \-#,##0\ ;_-[$$-409]* &quot;-&quot;??_ ;_-@_ "/>
    <numFmt numFmtId="169" formatCode="_(&quot;$&quot;* #,##0_);_(&quot;$&quot;* \(#,##0\);_(&quot;$&quot;* &quot;-&quot;??_);_(@_)"/>
    <numFmt numFmtId="170" formatCode="00\ 00\ 00"/>
    <numFmt numFmtId="171" formatCode="&quot;$&quot;#,##0.00"/>
    <numFmt numFmtId="172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i/>
      <sz val="11"/>
      <color theme="4" tint="-0.249977111117893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b/>
      <sz val="2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5" borderId="37" applyNumberFormat="0" applyFont="0" applyAlignment="0" applyProtection="0"/>
    <xf numFmtId="0" fontId="25" fillId="6" borderId="1" applyBorder="0">
      <alignment horizontal="center" vertical="center" wrapText="1"/>
    </xf>
    <xf numFmtId="166" fontId="5" fillId="7" borderId="46" applyBorder="0">
      <alignment horizontal="center" vertical="center"/>
    </xf>
  </cellStyleXfs>
  <cellXfs count="225">
    <xf numFmtId="0" fontId="0" fillId="0" borderId="0" xfId="0"/>
    <xf numFmtId="166" fontId="5" fillId="0" borderId="9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9" fontId="3" fillId="0" borderId="28" xfId="1" applyNumberFormat="1" applyFont="1" applyBorder="1" applyAlignment="1">
      <alignment horizontal="center" vertical="center"/>
    </xf>
    <xf numFmtId="169" fontId="3" fillId="0" borderId="28" xfId="1" applyNumberFormat="1" applyFont="1" applyFill="1" applyBorder="1" applyAlignment="1">
      <alignment horizontal="center" vertical="center" wrapText="1"/>
    </xf>
    <xf numFmtId="9" fontId="0" fillId="0" borderId="0" xfId="2" applyFont="1" applyFill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166" fontId="5" fillId="0" borderId="36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4" fontId="0" fillId="0" borderId="9" xfId="4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4" fontId="0" fillId="0" borderId="26" xfId="4" applyFont="1" applyBorder="1" applyAlignment="1">
      <alignment vertical="center"/>
    </xf>
    <xf numFmtId="9" fontId="0" fillId="0" borderId="13" xfId="2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9" fontId="4" fillId="0" borderId="3" xfId="2" applyFont="1" applyFill="1" applyBorder="1" applyAlignment="1">
      <alignment horizontal="center" vertical="center"/>
    </xf>
    <xf numFmtId="166" fontId="8" fillId="3" borderId="21" xfId="0" applyNumberFormat="1" applyFont="1" applyFill="1" applyBorder="1" applyAlignment="1">
      <alignment horizontal="center" vertical="center"/>
    </xf>
    <xf numFmtId="43" fontId="0" fillId="0" borderId="9" xfId="4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66" fontId="5" fillId="0" borderId="29" xfId="0" applyNumberFormat="1" applyFont="1" applyBorder="1" applyAlignment="1">
      <alignment vertical="center"/>
    </xf>
    <xf numFmtId="169" fontId="3" fillId="4" borderId="41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1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vertical="center"/>
    </xf>
    <xf numFmtId="166" fontId="0" fillId="3" borderId="9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0" fillId="0" borderId="9" xfId="0" applyNumberFormat="1" applyBorder="1" applyAlignment="1">
      <alignment vertical="center"/>
    </xf>
    <xf numFmtId="0" fontId="0" fillId="0" borderId="42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6" fontId="0" fillId="0" borderId="31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6" fontId="0" fillId="0" borderId="15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0" fontId="9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7" fontId="9" fillId="0" borderId="40" xfId="4" applyNumberFormat="1" applyFont="1" applyFill="1" applyBorder="1" applyAlignment="1">
      <alignment horizontal="center" vertical="center" wrapText="1"/>
    </xf>
    <xf numFmtId="166" fontId="9" fillId="0" borderId="40" xfId="0" applyNumberFormat="1" applyFont="1" applyBorder="1" applyAlignment="1">
      <alignment horizontal="center" vertical="center" wrapText="1"/>
    </xf>
    <xf numFmtId="168" fontId="9" fillId="0" borderId="40" xfId="4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18" xfId="0" applyFont="1" applyFill="1" applyBorder="1" applyAlignment="1">
      <alignment vertical="center"/>
    </xf>
    <xf numFmtId="166" fontId="13" fillId="3" borderId="3" xfId="1" applyNumberFormat="1" applyFont="1" applyFill="1" applyBorder="1" applyAlignment="1">
      <alignment horizontal="center" vertical="center"/>
    </xf>
    <xf numFmtId="167" fontId="10" fillId="2" borderId="0" xfId="4" applyNumberFormat="1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horizontal="center" vertical="center"/>
    </xf>
    <xf numFmtId="168" fontId="10" fillId="2" borderId="0" xfId="4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70" fontId="14" fillId="0" borderId="12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" fontId="10" fillId="0" borderId="8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9" fontId="15" fillId="2" borderId="8" xfId="2" applyFont="1" applyFill="1" applyBorder="1" applyAlignment="1">
      <alignment horizontal="center" vertical="center"/>
    </xf>
    <xf numFmtId="1" fontId="15" fillId="2" borderId="8" xfId="3" applyNumberFormat="1" applyFont="1" applyFill="1" applyBorder="1" applyAlignment="1">
      <alignment horizontal="center" vertical="center"/>
    </xf>
    <xf numFmtId="171" fontId="15" fillId="2" borderId="8" xfId="1" applyNumberFormat="1" applyFont="1" applyFill="1" applyBorder="1" applyAlignment="1">
      <alignment horizontal="center" vertical="center"/>
    </xf>
    <xf numFmtId="171" fontId="10" fillId="2" borderId="8" xfId="1" applyNumberFormat="1" applyFont="1" applyFill="1" applyBorder="1" applyAlignment="1">
      <alignment horizontal="center" vertical="center"/>
    </xf>
    <xf numFmtId="171" fontId="10" fillId="2" borderId="7" xfId="1" applyNumberFormat="1" applyFont="1" applyFill="1" applyBorder="1" applyAlignment="1">
      <alignment horizontal="center" vertical="center"/>
    </xf>
    <xf numFmtId="2" fontId="10" fillId="2" borderId="8" xfId="4" applyNumberFormat="1" applyFont="1" applyFill="1" applyBorder="1" applyAlignment="1">
      <alignment horizontal="center" vertical="center"/>
    </xf>
    <xf numFmtId="171" fontId="10" fillId="2" borderId="11" xfId="1" applyNumberFormat="1" applyFont="1" applyFill="1" applyBorder="1" applyAlignment="1">
      <alignment horizontal="center" vertical="center"/>
    </xf>
    <xf numFmtId="171" fontId="11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/>
    </xf>
    <xf numFmtId="170" fontId="16" fillId="0" borderId="2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1" fontId="17" fillId="0" borderId="8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0" fontId="9" fillId="2" borderId="2" xfId="3" applyFont="1" applyFill="1" applyBorder="1" applyAlignment="1">
      <alignment vertical="center"/>
    </xf>
    <xf numFmtId="166" fontId="13" fillId="2" borderId="2" xfId="1" applyNumberFormat="1" applyFont="1" applyFill="1" applyBorder="1" applyAlignment="1">
      <alignment horizontal="center" vertical="center"/>
    </xf>
    <xf numFmtId="166" fontId="13" fillId="2" borderId="3" xfId="4" applyNumberFormat="1" applyFont="1" applyFill="1" applyBorder="1" applyAlignment="1">
      <alignment horizontal="center" vertical="center"/>
    </xf>
    <xf numFmtId="2" fontId="13" fillId="2" borderId="3" xfId="4" applyNumberFormat="1" applyFont="1" applyFill="1" applyBorder="1" applyAlignment="1">
      <alignment horizontal="center" vertical="center"/>
    </xf>
    <xf numFmtId="168" fontId="13" fillId="0" borderId="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70" fontId="10" fillId="0" borderId="12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 wrapText="1"/>
    </xf>
    <xf numFmtId="165" fontId="11" fillId="0" borderId="9" xfId="0" applyNumberFormat="1" applyFont="1" applyBorder="1" applyAlignment="1">
      <alignment vertical="center"/>
    </xf>
    <xf numFmtId="170" fontId="13" fillId="0" borderId="12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70" fontId="13" fillId="0" borderId="25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170" fontId="10" fillId="0" borderId="25" xfId="0" applyNumberFormat="1" applyFont="1" applyBorder="1" applyAlignment="1">
      <alignment horizontal="center" vertical="center"/>
    </xf>
    <xf numFmtId="168" fontId="9" fillId="0" borderId="3" xfId="1" applyNumberFormat="1" applyFont="1" applyFill="1" applyBorder="1" applyAlignment="1">
      <alignment horizontal="right" vertical="center"/>
    </xf>
    <xf numFmtId="2" fontId="9" fillId="0" borderId="3" xfId="1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vertical="center"/>
    </xf>
    <xf numFmtId="0" fontId="20" fillId="2" borderId="3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170" fontId="10" fillId="2" borderId="0" xfId="0" applyNumberFormat="1" applyFont="1" applyFill="1" applyAlignment="1">
      <alignment horizontal="center" vertical="center"/>
    </xf>
    <xf numFmtId="0" fontId="21" fillId="2" borderId="34" xfId="0" applyFont="1" applyFill="1" applyBorder="1" applyAlignment="1">
      <alignment vertical="center" wrapText="1"/>
    </xf>
    <xf numFmtId="0" fontId="21" fillId="2" borderId="30" xfId="0" applyFont="1" applyFill="1" applyBorder="1" applyAlignment="1">
      <alignment vertical="center" wrapText="1"/>
    </xf>
    <xf numFmtId="0" fontId="22" fillId="2" borderId="17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167" fontId="10" fillId="2" borderId="14" xfId="4" applyNumberFormat="1" applyFont="1" applyFill="1" applyBorder="1" applyAlignment="1">
      <alignment horizontal="center" vertical="center"/>
    </xf>
    <xf numFmtId="167" fontId="10" fillId="2" borderId="15" xfId="4" applyNumberFormat="1" applyFont="1" applyFill="1" applyBorder="1" applyAlignment="1">
      <alignment horizontal="center" vertical="center"/>
    </xf>
    <xf numFmtId="170" fontId="10" fillId="2" borderId="15" xfId="4" applyNumberFormat="1" applyFont="1" applyFill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7" fontId="10" fillId="0" borderId="0" xfId="4" applyNumberFormat="1" applyFont="1" applyAlignment="1">
      <alignment horizontal="center" vertical="center"/>
    </xf>
    <xf numFmtId="168" fontId="10" fillId="0" borderId="0" xfId="4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9" fontId="0" fillId="0" borderId="8" xfId="2" applyFont="1" applyFill="1" applyBorder="1" applyAlignment="1">
      <alignment vertical="center"/>
    </xf>
    <xf numFmtId="169" fontId="3" fillId="0" borderId="29" xfId="1" applyNumberFormat="1" applyFont="1" applyFill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4" fillId="0" borderId="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166" fontId="5" fillId="7" borderId="8" xfId="7" applyBorder="1">
      <alignment horizontal="center" vertical="center"/>
    </xf>
    <xf numFmtId="166" fontId="5" fillId="7" borderId="16" xfId="7" quotePrefix="1" applyBorder="1">
      <alignment horizontal="center" vertical="center"/>
    </xf>
    <xf numFmtId="166" fontId="5" fillId="7" borderId="9" xfId="7" applyBorder="1">
      <alignment horizontal="center" vertical="center"/>
    </xf>
    <xf numFmtId="166" fontId="16" fillId="7" borderId="37" xfId="7" applyFont="1" applyBorder="1" applyAlignment="1">
      <alignment horizontal="left" vertical="center"/>
    </xf>
    <xf numFmtId="166" fontId="16" fillId="7" borderId="8" xfId="7" applyFont="1" applyBorder="1" applyAlignment="1">
      <alignment horizontal="left" vertical="center"/>
    </xf>
    <xf numFmtId="0" fontId="28" fillId="0" borderId="3" xfId="0" applyFont="1" applyBorder="1" applyAlignment="1">
      <alignment vertical="center" wrapText="1"/>
    </xf>
    <xf numFmtId="0" fontId="27" fillId="6" borderId="44" xfId="6" applyFont="1" applyBorder="1">
      <alignment horizontal="center" vertical="center" wrapText="1"/>
    </xf>
    <xf numFmtId="0" fontId="27" fillId="6" borderId="39" xfId="6" applyFont="1" applyBorder="1">
      <alignment horizontal="center" vertical="center" wrapText="1"/>
    </xf>
    <xf numFmtId="0" fontId="27" fillId="6" borderId="37" xfId="6" applyFont="1" applyBorder="1">
      <alignment horizontal="center" vertical="center" wrapText="1"/>
    </xf>
    <xf numFmtId="0" fontId="27" fillId="6" borderId="38" xfId="6" applyFont="1" applyBorder="1">
      <alignment horizontal="center" vertical="center" wrapText="1"/>
    </xf>
    <xf numFmtId="0" fontId="27" fillId="6" borderId="0" xfId="6" applyFont="1" applyBorder="1">
      <alignment horizontal="center" vertical="center" wrapText="1"/>
    </xf>
    <xf numFmtId="0" fontId="27" fillId="6" borderId="45" xfId="6" applyFont="1" applyBorder="1">
      <alignment horizontal="center" vertical="center" wrapText="1"/>
    </xf>
    <xf numFmtId="0" fontId="25" fillId="6" borderId="1" xfId="6" applyBorder="1">
      <alignment horizontal="center" vertical="center" wrapText="1"/>
    </xf>
    <xf numFmtId="0" fontId="25" fillId="6" borderId="4" xfId="6" applyBorder="1">
      <alignment horizontal="center" vertical="center" wrapText="1"/>
    </xf>
    <xf numFmtId="0" fontId="25" fillId="6" borderId="2" xfId="6" applyBorder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166" fontId="16" fillId="7" borderId="1" xfId="7" applyFont="1" applyBorder="1">
      <alignment horizontal="center" vertical="center"/>
    </xf>
    <xf numFmtId="166" fontId="16" fillId="7" borderId="4" xfId="7" applyFont="1" applyBorder="1">
      <alignment horizontal="center" vertical="center"/>
    </xf>
    <xf numFmtId="166" fontId="16" fillId="7" borderId="2" xfId="7" applyFont="1" applyBorder="1">
      <alignment horizontal="center" vertical="center"/>
    </xf>
    <xf numFmtId="0" fontId="27" fillId="6" borderId="33" xfId="6" applyFont="1" applyBorder="1">
      <alignment horizontal="center" vertical="center" wrapText="1"/>
    </xf>
    <xf numFmtId="0" fontId="27" fillId="6" borderId="30" xfId="6" applyFont="1" applyBorder="1">
      <alignment horizontal="center" vertical="center" wrapText="1"/>
    </xf>
    <xf numFmtId="0" fontId="27" fillId="6" borderId="1" xfId="6" applyFont="1" applyBorder="1">
      <alignment horizontal="center" vertical="center" wrapText="1"/>
    </xf>
    <xf numFmtId="0" fontId="27" fillId="6" borderId="4" xfId="6" applyFont="1" applyBorder="1">
      <alignment horizontal="center" vertical="center" wrapText="1"/>
    </xf>
    <xf numFmtId="0" fontId="27" fillId="6" borderId="2" xfId="6" applyFont="1" applyBorder="1">
      <alignment horizontal="center" vertical="center" wrapText="1"/>
    </xf>
    <xf numFmtId="172" fontId="28" fillId="0" borderId="4" xfId="0" applyNumberFormat="1" applyFont="1" applyBorder="1" applyAlignment="1">
      <alignment horizontal="center" vertical="center" wrapText="1"/>
    </xf>
    <xf numFmtId="172" fontId="28" fillId="0" borderId="2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/>
    </xf>
    <xf numFmtId="168" fontId="13" fillId="2" borderId="2" xfId="1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167" fontId="23" fillId="2" borderId="15" xfId="4" applyNumberFormat="1" applyFont="1" applyFill="1" applyBorder="1" applyAlignment="1">
      <alignment horizontal="left" vertical="center"/>
    </xf>
    <xf numFmtId="167" fontId="23" fillId="2" borderId="22" xfId="4" applyNumberFormat="1" applyFont="1" applyFill="1" applyBorder="1" applyAlignment="1">
      <alignment horizontal="left" vertical="center"/>
    </xf>
    <xf numFmtId="168" fontId="9" fillId="0" borderId="1" xfId="1" applyNumberFormat="1" applyFont="1" applyFill="1" applyBorder="1" applyAlignment="1">
      <alignment horizontal="right" vertical="center"/>
    </xf>
    <xf numFmtId="168" fontId="9" fillId="0" borderId="4" xfId="1" applyNumberFormat="1" applyFont="1" applyFill="1" applyBorder="1" applyAlignment="1">
      <alignment horizontal="right" vertical="center"/>
    </xf>
    <xf numFmtId="168" fontId="9" fillId="0" borderId="2" xfId="1" applyNumberFormat="1" applyFont="1" applyFill="1" applyBorder="1" applyAlignment="1">
      <alignment horizontal="right" vertical="center"/>
    </xf>
    <xf numFmtId="166" fontId="5" fillId="7" borderId="1" xfId="7" applyBorder="1">
      <alignment horizontal="center" vertical="center"/>
    </xf>
    <xf numFmtId="166" fontId="5" fillId="7" borderId="2" xfId="7" applyBorder="1">
      <alignment horizontal="center" vertical="center"/>
    </xf>
    <xf numFmtId="166" fontId="5" fillId="7" borderId="2" xfId="7" applyBorder="1">
      <alignment horizontal="center" vertical="center"/>
    </xf>
    <xf numFmtId="166" fontId="5" fillId="7" borderId="27" xfId="7" applyBorder="1">
      <alignment horizontal="center" vertical="center"/>
    </xf>
    <xf numFmtId="166" fontId="5" fillId="7" borderId="29" xfId="7" applyBorder="1">
      <alignment horizontal="center" vertical="center"/>
    </xf>
    <xf numFmtId="166" fontId="5" fillId="7" borderId="3" xfId="7" applyBorder="1">
      <alignment horizontal="center" vertical="center"/>
    </xf>
  </cellXfs>
  <cellStyles count="8">
    <cellStyle name="Comma [0]" xfId="4" builtinId="6"/>
    <cellStyle name="Currency" xfId="1" builtinId="4"/>
    <cellStyle name="Normal" xfId="0" builtinId="0"/>
    <cellStyle name="Normal 2" xfId="3" xr:uid="{00000000-0005-0000-0000-000003000000}"/>
    <cellStyle name="Note 2" xfId="5" xr:uid="{7CC51EF5-67C4-4FAC-B74A-62750FADC802}"/>
    <cellStyle name="Percent" xfId="2" builtinId="5"/>
    <cellStyle name="Red Black" xfId="6" xr:uid="{071868FC-DDB6-43BE-9C01-4D2D359E2060}"/>
    <cellStyle name="White Grey" xfId="7" xr:uid="{97EB2929-8B28-401E-BCD6-CB1DD0DCA922}"/>
  </cellStyles>
  <dxfs count="0"/>
  <tableStyles count="0" defaultTableStyle="TableStyleMedium2" defaultPivotStyle="PivotStyleLight16"/>
  <colors>
    <mruColors>
      <color rgb="FFB9282E"/>
      <color rgb="FF09B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282E"/>
  </sheetPr>
  <dimension ref="A1:P40"/>
  <sheetViews>
    <sheetView tabSelected="1" view="pageBreakPreview" topLeftCell="A28" zoomScale="85" zoomScaleNormal="85" zoomScaleSheetLayoutView="85" workbookViewId="0">
      <selection activeCell="B23" sqref="B23:L23"/>
    </sheetView>
  </sheetViews>
  <sheetFormatPr defaultColWidth="9.109375" defaultRowHeight="14.4" x14ac:dyDescent="0.3"/>
  <cols>
    <col min="1" max="1" width="9.6640625" style="29" customWidth="1"/>
    <col min="2" max="2" width="15.33203125" style="31" customWidth="1"/>
    <col min="3" max="3" width="52.5546875" style="29" customWidth="1"/>
    <col min="4" max="4" width="15.88671875" style="29" customWidth="1"/>
    <col min="5" max="5" width="15.6640625" style="32" bestFit="1" customWidth="1"/>
    <col min="6" max="6" width="14.6640625" style="32" customWidth="1"/>
    <col min="7" max="7" width="14.33203125" style="32" customWidth="1"/>
    <col min="8" max="8" width="16.88671875" style="32" bestFit="1" customWidth="1"/>
    <col min="9" max="9" width="14.33203125" style="32" customWidth="1"/>
    <col min="10" max="10" width="15.44140625" style="32" bestFit="1" customWidth="1"/>
    <col min="11" max="11" width="15.44140625" style="32" customWidth="1"/>
    <col min="12" max="12" width="19.109375" style="32" customWidth="1"/>
    <col min="13" max="13" width="10.6640625" style="29" customWidth="1"/>
    <col min="14" max="16384" width="9.109375" style="29"/>
  </cols>
  <sheetData>
    <row r="1" spans="1:15" ht="37.5" customHeight="1" thickBot="1" x14ac:dyDescent="0.35">
      <c r="A1" s="170" t="str">
        <f>Estimate!E1</f>
        <v>MENDHAM TOWNSHIP BOARD OF EDUCATION (MENDHAM TOWNSHIP ELEMENTARY SCHOOL)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2"/>
      <c r="M1" s="28"/>
    </row>
    <row r="2" spans="1:15" ht="15" thickBot="1" x14ac:dyDescent="0.35">
      <c r="A2" s="30"/>
      <c r="M2" s="28"/>
    </row>
    <row r="3" spans="1:15" ht="30" customHeight="1" thickBot="1" x14ac:dyDescent="0.35">
      <c r="A3" s="30"/>
      <c r="B3" s="166" t="s">
        <v>25</v>
      </c>
      <c r="C3" s="167"/>
      <c r="D3" s="167"/>
      <c r="E3" s="167"/>
      <c r="F3" s="167"/>
      <c r="G3" s="167"/>
      <c r="H3" s="167"/>
      <c r="I3" s="167"/>
      <c r="J3" s="167"/>
      <c r="K3" s="167"/>
      <c r="L3" s="168"/>
      <c r="M3" s="28"/>
    </row>
    <row r="4" spans="1:15" ht="29.4" thickBot="1" x14ac:dyDescent="0.35">
      <c r="A4" s="30"/>
      <c r="B4" s="2" t="s">
        <v>125</v>
      </c>
      <c r="C4" s="3" t="s">
        <v>1</v>
      </c>
      <c r="D4" s="4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27" t="s">
        <v>149</v>
      </c>
      <c r="L4" s="145" t="s">
        <v>23</v>
      </c>
    </row>
    <row r="5" spans="1:15" ht="25.2" customHeight="1" x14ac:dyDescent="0.3">
      <c r="A5" s="30"/>
      <c r="B5" s="33" t="s">
        <v>133</v>
      </c>
      <c r="C5" s="34" t="s">
        <v>135</v>
      </c>
      <c r="D5" s="35">
        <f>Estimate!K$23</f>
        <v>0</v>
      </c>
      <c r="E5" s="35">
        <f>Estimate!N$23</f>
        <v>0</v>
      </c>
      <c r="F5" s="36">
        <f t="shared" ref="F5:F21" si="0">D5*$D$28</f>
        <v>0</v>
      </c>
      <c r="G5" s="36">
        <f t="shared" ref="G5:G21" si="1">E5*$D$31</f>
        <v>0</v>
      </c>
      <c r="H5" s="36">
        <f t="shared" ref="H5:H10" si="2">D5+E5+F5+G5</f>
        <v>0</v>
      </c>
      <c r="I5" s="36">
        <f t="shared" ref="I5:I21" si="3">H5*$D$33</f>
        <v>0</v>
      </c>
      <c r="J5" s="36">
        <f t="shared" ref="J5:J21" si="4">H5*$D$34</f>
        <v>0</v>
      </c>
      <c r="K5" s="37">
        <f>SUM(E$36:E$37)</f>
        <v>821760</v>
      </c>
      <c r="L5" s="146">
        <f>H5+I5+J5+K5</f>
        <v>821760</v>
      </c>
      <c r="M5" s="32"/>
      <c r="N5" s="32"/>
      <c r="O5" s="32"/>
    </row>
    <row r="6" spans="1:15" ht="25.2" customHeight="1" x14ac:dyDescent="0.3">
      <c r="A6" s="30"/>
      <c r="B6" s="33" t="s">
        <v>55</v>
      </c>
      <c r="C6" s="34" t="s">
        <v>148</v>
      </c>
      <c r="D6" s="35">
        <f>Estimate!K$78</f>
        <v>0</v>
      </c>
      <c r="E6" s="35">
        <f>Estimate!$N78</f>
        <v>0</v>
      </c>
      <c r="F6" s="36">
        <f t="shared" si="0"/>
        <v>0</v>
      </c>
      <c r="G6" s="36">
        <f t="shared" si="1"/>
        <v>0</v>
      </c>
      <c r="H6" s="36">
        <f t="shared" si="2"/>
        <v>0</v>
      </c>
      <c r="I6" s="36">
        <f t="shared" si="3"/>
        <v>0</v>
      </c>
      <c r="J6" s="36">
        <f t="shared" si="4"/>
        <v>0</v>
      </c>
      <c r="K6" s="37">
        <v>0</v>
      </c>
      <c r="L6" s="146">
        <f t="shared" ref="L6:L21" si="5">H6+I6+J6+K6</f>
        <v>0</v>
      </c>
      <c r="M6" s="32"/>
      <c r="N6" s="32"/>
      <c r="O6" s="32"/>
    </row>
    <row r="7" spans="1:15" ht="25.2" customHeight="1" x14ac:dyDescent="0.3">
      <c r="A7" s="30"/>
      <c r="B7" s="33" t="s">
        <v>56</v>
      </c>
      <c r="C7" s="34" t="s">
        <v>57</v>
      </c>
      <c r="D7" s="35">
        <f>Estimate!K$87</f>
        <v>0</v>
      </c>
      <c r="E7" s="35">
        <f>Estimate!$N87</f>
        <v>0</v>
      </c>
      <c r="F7" s="36">
        <f t="shared" si="0"/>
        <v>0</v>
      </c>
      <c r="G7" s="36">
        <f t="shared" si="1"/>
        <v>0</v>
      </c>
      <c r="H7" s="36">
        <f t="shared" si="2"/>
        <v>0</v>
      </c>
      <c r="I7" s="36">
        <f t="shared" si="3"/>
        <v>0</v>
      </c>
      <c r="J7" s="36">
        <f t="shared" si="4"/>
        <v>0</v>
      </c>
      <c r="K7" s="37">
        <v>0</v>
      </c>
      <c r="L7" s="146">
        <f t="shared" si="5"/>
        <v>0</v>
      </c>
      <c r="M7" s="32"/>
      <c r="N7" s="32"/>
      <c r="O7" s="32"/>
    </row>
    <row r="8" spans="1:15" ht="25.2" customHeight="1" x14ac:dyDescent="0.3">
      <c r="A8" s="30"/>
      <c r="B8" s="33" t="s">
        <v>121</v>
      </c>
      <c r="C8" s="34" t="s">
        <v>117</v>
      </c>
      <c r="D8" s="35">
        <f>Estimate!K$96</f>
        <v>0</v>
      </c>
      <c r="E8" s="35">
        <f>Estimate!$N96</f>
        <v>0</v>
      </c>
      <c r="F8" s="36">
        <f t="shared" si="0"/>
        <v>0</v>
      </c>
      <c r="G8" s="36">
        <f t="shared" si="1"/>
        <v>0</v>
      </c>
      <c r="H8" s="36">
        <f t="shared" si="2"/>
        <v>0</v>
      </c>
      <c r="I8" s="36">
        <f t="shared" si="3"/>
        <v>0</v>
      </c>
      <c r="J8" s="36">
        <f t="shared" si="4"/>
        <v>0</v>
      </c>
      <c r="K8" s="37">
        <v>0</v>
      </c>
      <c r="L8" s="146">
        <f t="shared" si="5"/>
        <v>0</v>
      </c>
      <c r="M8" s="32"/>
      <c r="N8" s="32"/>
      <c r="O8" s="32"/>
    </row>
    <row r="9" spans="1:15" ht="25.2" customHeight="1" x14ac:dyDescent="0.3">
      <c r="A9" s="30"/>
      <c r="B9" s="33" t="s">
        <v>120</v>
      </c>
      <c r="C9" s="34" t="s">
        <v>118</v>
      </c>
      <c r="D9" s="35">
        <f>Estimate!K$111</f>
        <v>0</v>
      </c>
      <c r="E9" s="35">
        <f>Estimate!$N111</f>
        <v>0</v>
      </c>
      <c r="F9" s="36">
        <f t="shared" si="0"/>
        <v>0</v>
      </c>
      <c r="G9" s="36">
        <f t="shared" si="1"/>
        <v>0</v>
      </c>
      <c r="H9" s="36">
        <f t="shared" si="2"/>
        <v>0</v>
      </c>
      <c r="I9" s="36">
        <f t="shared" si="3"/>
        <v>0</v>
      </c>
      <c r="J9" s="36">
        <f t="shared" si="4"/>
        <v>0</v>
      </c>
      <c r="K9" s="37">
        <v>0</v>
      </c>
      <c r="L9" s="146">
        <f t="shared" si="5"/>
        <v>0</v>
      </c>
      <c r="M9" s="32"/>
      <c r="N9" s="32"/>
      <c r="O9" s="32"/>
    </row>
    <row r="10" spans="1:15" ht="25.2" customHeight="1" x14ac:dyDescent="0.3">
      <c r="A10" s="30"/>
      <c r="B10" s="33" t="s">
        <v>119</v>
      </c>
      <c r="C10" s="34" t="s">
        <v>58</v>
      </c>
      <c r="D10" s="35">
        <f>Estimate!K$116</f>
        <v>0</v>
      </c>
      <c r="E10" s="35">
        <f>Estimate!$N116</f>
        <v>0</v>
      </c>
      <c r="F10" s="36">
        <f t="shared" si="0"/>
        <v>0</v>
      </c>
      <c r="G10" s="36">
        <f t="shared" si="1"/>
        <v>0</v>
      </c>
      <c r="H10" s="36">
        <f t="shared" si="2"/>
        <v>0</v>
      </c>
      <c r="I10" s="36">
        <f t="shared" si="3"/>
        <v>0</v>
      </c>
      <c r="J10" s="36">
        <f t="shared" si="4"/>
        <v>0</v>
      </c>
      <c r="K10" s="37">
        <v>0</v>
      </c>
      <c r="L10" s="146">
        <f t="shared" si="5"/>
        <v>0</v>
      </c>
      <c r="M10" s="32"/>
      <c r="N10" s="32"/>
      <c r="O10" s="32"/>
    </row>
    <row r="11" spans="1:15" ht="25.2" customHeight="1" x14ac:dyDescent="0.3">
      <c r="A11" s="30"/>
      <c r="B11" s="33" t="s">
        <v>122</v>
      </c>
      <c r="C11" s="34" t="s">
        <v>59</v>
      </c>
      <c r="D11" s="35">
        <f>Estimate!K$130</f>
        <v>0</v>
      </c>
      <c r="E11" s="35">
        <f>Estimate!$N130</f>
        <v>0</v>
      </c>
      <c r="F11" s="36">
        <f t="shared" si="0"/>
        <v>0</v>
      </c>
      <c r="G11" s="36">
        <f t="shared" si="1"/>
        <v>0</v>
      </c>
      <c r="H11" s="36">
        <f t="shared" ref="H11:H14" si="6">D11+E11+F11+G11</f>
        <v>0</v>
      </c>
      <c r="I11" s="36">
        <f t="shared" si="3"/>
        <v>0</v>
      </c>
      <c r="J11" s="36">
        <f t="shared" si="4"/>
        <v>0</v>
      </c>
      <c r="K11" s="37">
        <v>0</v>
      </c>
      <c r="L11" s="146">
        <f t="shared" si="5"/>
        <v>0</v>
      </c>
      <c r="M11" s="32"/>
      <c r="N11" s="32"/>
      <c r="O11" s="32"/>
    </row>
    <row r="12" spans="1:15" ht="25.2" customHeight="1" x14ac:dyDescent="0.3">
      <c r="A12" s="30"/>
      <c r="B12" s="33" t="s">
        <v>46</v>
      </c>
      <c r="C12" s="34" t="s">
        <v>45</v>
      </c>
      <c r="D12" s="35">
        <f>Estimate!K$154</f>
        <v>0</v>
      </c>
      <c r="E12" s="35">
        <f>Estimate!$N154</f>
        <v>0</v>
      </c>
      <c r="F12" s="36">
        <f t="shared" si="0"/>
        <v>0</v>
      </c>
      <c r="G12" s="36">
        <f t="shared" si="1"/>
        <v>0</v>
      </c>
      <c r="H12" s="36">
        <f t="shared" si="6"/>
        <v>0</v>
      </c>
      <c r="I12" s="36">
        <f t="shared" si="3"/>
        <v>0</v>
      </c>
      <c r="J12" s="36">
        <f t="shared" si="4"/>
        <v>0</v>
      </c>
      <c r="K12" s="37">
        <v>0</v>
      </c>
      <c r="L12" s="146">
        <f t="shared" si="5"/>
        <v>0</v>
      </c>
      <c r="M12" s="32"/>
      <c r="N12" s="32"/>
      <c r="O12" s="32"/>
    </row>
    <row r="13" spans="1:15" ht="25.2" customHeight="1" x14ac:dyDescent="0.3">
      <c r="A13" s="30"/>
      <c r="B13" s="33" t="s">
        <v>44</v>
      </c>
      <c r="C13" s="34" t="s">
        <v>47</v>
      </c>
      <c r="D13" s="35">
        <f>Estimate!K$230</f>
        <v>1006.7244228142077</v>
      </c>
      <c r="E13" s="35">
        <f>Estimate!$N230</f>
        <v>0</v>
      </c>
      <c r="F13" s="36">
        <f t="shared" si="0"/>
        <v>0</v>
      </c>
      <c r="G13" s="36">
        <f t="shared" si="1"/>
        <v>0</v>
      </c>
      <c r="H13" s="36">
        <f t="shared" si="6"/>
        <v>1006.7244228142077</v>
      </c>
      <c r="I13" s="36">
        <f t="shared" si="3"/>
        <v>100.67244228142079</v>
      </c>
      <c r="J13" s="36">
        <f t="shared" si="4"/>
        <v>100.67244228142079</v>
      </c>
      <c r="K13" s="37">
        <v>0</v>
      </c>
      <c r="L13" s="146">
        <f t="shared" si="5"/>
        <v>1208.0693073770494</v>
      </c>
      <c r="M13" s="32"/>
      <c r="N13" s="32"/>
      <c r="O13" s="32"/>
    </row>
    <row r="14" spans="1:15" ht="25.2" customHeight="1" x14ac:dyDescent="0.3">
      <c r="A14" s="30"/>
      <c r="B14" s="33" t="s">
        <v>60</v>
      </c>
      <c r="C14" s="34" t="s">
        <v>61</v>
      </c>
      <c r="D14" s="35">
        <f>Estimate!K$251</f>
        <v>0</v>
      </c>
      <c r="E14" s="35">
        <f>Estimate!$N251</f>
        <v>0</v>
      </c>
      <c r="F14" s="36">
        <f t="shared" si="0"/>
        <v>0</v>
      </c>
      <c r="G14" s="36">
        <f t="shared" si="1"/>
        <v>0</v>
      </c>
      <c r="H14" s="36">
        <f t="shared" si="6"/>
        <v>0</v>
      </c>
      <c r="I14" s="36">
        <f t="shared" si="3"/>
        <v>0</v>
      </c>
      <c r="J14" s="36">
        <f t="shared" si="4"/>
        <v>0</v>
      </c>
      <c r="K14" s="37">
        <v>0</v>
      </c>
      <c r="L14" s="146">
        <f t="shared" si="5"/>
        <v>0</v>
      </c>
      <c r="M14" s="32"/>
      <c r="N14" s="32"/>
      <c r="O14" s="32"/>
    </row>
    <row r="15" spans="1:15" ht="25.2" customHeight="1" x14ac:dyDescent="0.3">
      <c r="A15" s="30"/>
      <c r="B15" s="33" t="s">
        <v>62</v>
      </c>
      <c r="C15" s="34" t="s">
        <v>63</v>
      </c>
      <c r="D15" s="35">
        <f>Estimate!K$263</f>
        <v>0</v>
      </c>
      <c r="E15" s="35">
        <f>Estimate!$N263</f>
        <v>0</v>
      </c>
      <c r="F15" s="36">
        <f t="shared" si="0"/>
        <v>0</v>
      </c>
      <c r="G15" s="36">
        <f t="shared" si="1"/>
        <v>0</v>
      </c>
      <c r="H15" s="36">
        <f t="shared" ref="H15:H20" si="7">D15+E15+F15+G15</f>
        <v>0</v>
      </c>
      <c r="I15" s="36">
        <f t="shared" si="3"/>
        <v>0</v>
      </c>
      <c r="J15" s="36">
        <f t="shared" si="4"/>
        <v>0</v>
      </c>
      <c r="K15" s="37">
        <v>0</v>
      </c>
      <c r="L15" s="146">
        <f t="shared" si="5"/>
        <v>0</v>
      </c>
      <c r="M15" s="32"/>
      <c r="N15" s="32"/>
      <c r="O15" s="32"/>
    </row>
    <row r="16" spans="1:15" ht="25.2" customHeight="1" x14ac:dyDescent="0.3">
      <c r="A16" s="30"/>
      <c r="B16" s="33" t="s">
        <v>140</v>
      </c>
      <c r="C16" s="34" t="s">
        <v>144</v>
      </c>
      <c r="D16" s="35">
        <f>Estimate!K$268</f>
        <v>0</v>
      </c>
      <c r="E16" s="35">
        <f>Estimate!N$268</f>
        <v>0</v>
      </c>
      <c r="F16" s="36">
        <f t="shared" si="0"/>
        <v>0</v>
      </c>
      <c r="G16" s="36">
        <f t="shared" si="1"/>
        <v>0</v>
      </c>
      <c r="H16" s="36">
        <f t="shared" ref="H16:H19" si="8">D16+E16+F16+G16</f>
        <v>0</v>
      </c>
      <c r="I16" s="36">
        <f t="shared" si="3"/>
        <v>0</v>
      </c>
      <c r="J16" s="36">
        <f t="shared" si="4"/>
        <v>0</v>
      </c>
      <c r="K16" s="37">
        <v>0</v>
      </c>
      <c r="L16" s="146">
        <f t="shared" si="5"/>
        <v>0</v>
      </c>
      <c r="M16" s="32"/>
      <c r="N16" s="32"/>
      <c r="O16" s="32"/>
    </row>
    <row r="17" spans="1:16" ht="25.2" customHeight="1" x14ac:dyDescent="0.3">
      <c r="A17" s="30"/>
      <c r="B17" s="33" t="s">
        <v>141</v>
      </c>
      <c r="C17" s="34" t="s">
        <v>145</v>
      </c>
      <c r="D17" s="35">
        <f>Estimate!K$344</f>
        <v>0</v>
      </c>
      <c r="E17" s="35">
        <f>Estimate!N$344</f>
        <v>0</v>
      </c>
      <c r="F17" s="36">
        <f t="shared" si="0"/>
        <v>0</v>
      </c>
      <c r="G17" s="36">
        <f t="shared" si="1"/>
        <v>0</v>
      </c>
      <c r="H17" s="36">
        <f t="shared" si="8"/>
        <v>0</v>
      </c>
      <c r="I17" s="36">
        <f t="shared" si="3"/>
        <v>0</v>
      </c>
      <c r="J17" s="36">
        <f t="shared" si="4"/>
        <v>0</v>
      </c>
      <c r="K17" s="37">
        <v>0</v>
      </c>
      <c r="L17" s="146">
        <f t="shared" si="5"/>
        <v>0</v>
      </c>
      <c r="M17" s="32"/>
      <c r="N17" s="32"/>
      <c r="O17" s="32"/>
    </row>
    <row r="18" spans="1:16" ht="25.2" customHeight="1" x14ac:dyDescent="0.3">
      <c r="A18" s="30"/>
      <c r="B18" s="33" t="s">
        <v>142</v>
      </c>
      <c r="C18" s="34" t="s">
        <v>178</v>
      </c>
      <c r="D18" s="35">
        <f>Estimate!K$440</f>
        <v>0</v>
      </c>
      <c r="E18" s="35">
        <f>Estimate!N$440</f>
        <v>0</v>
      </c>
      <c r="F18" s="36">
        <f t="shared" si="0"/>
        <v>0</v>
      </c>
      <c r="G18" s="36">
        <f t="shared" si="1"/>
        <v>0</v>
      </c>
      <c r="H18" s="36">
        <f t="shared" si="8"/>
        <v>0</v>
      </c>
      <c r="I18" s="36">
        <f t="shared" si="3"/>
        <v>0</v>
      </c>
      <c r="J18" s="36">
        <f t="shared" si="4"/>
        <v>0</v>
      </c>
      <c r="K18" s="37">
        <v>0</v>
      </c>
      <c r="L18" s="146">
        <f t="shared" si="5"/>
        <v>0</v>
      </c>
      <c r="M18" s="32"/>
      <c r="N18" s="32"/>
      <c r="O18" s="32"/>
    </row>
    <row r="19" spans="1:16" ht="25.2" customHeight="1" x14ac:dyDescent="0.3">
      <c r="A19" s="30"/>
      <c r="B19" s="33" t="s">
        <v>143</v>
      </c>
      <c r="C19" s="34" t="s">
        <v>146</v>
      </c>
      <c r="D19" s="35">
        <f>Estimate!K$577</f>
        <v>0</v>
      </c>
      <c r="E19" s="35">
        <f>Estimate!N$577</f>
        <v>0</v>
      </c>
      <c r="F19" s="36">
        <f t="shared" si="0"/>
        <v>0</v>
      </c>
      <c r="G19" s="36">
        <f t="shared" si="1"/>
        <v>0</v>
      </c>
      <c r="H19" s="36">
        <f t="shared" si="8"/>
        <v>0</v>
      </c>
      <c r="I19" s="36">
        <f t="shared" si="3"/>
        <v>0</v>
      </c>
      <c r="J19" s="36">
        <f t="shared" si="4"/>
        <v>0</v>
      </c>
      <c r="K19" s="37">
        <v>0</v>
      </c>
      <c r="L19" s="146">
        <f t="shared" si="5"/>
        <v>0</v>
      </c>
      <c r="M19" s="32"/>
      <c r="N19" s="32"/>
      <c r="O19" s="32"/>
    </row>
    <row r="20" spans="1:16" ht="25.2" customHeight="1" x14ac:dyDescent="0.3">
      <c r="A20" s="30"/>
      <c r="B20" s="33" t="s">
        <v>64</v>
      </c>
      <c r="C20" s="34" t="s">
        <v>65</v>
      </c>
      <c r="D20" s="35">
        <f>Estimate!K$592</f>
        <v>0</v>
      </c>
      <c r="E20" s="35">
        <f>Estimate!$N592</f>
        <v>0</v>
      </c>
      <c r="F20" s="36">
        <f t="shared" si="0"/>
        <v>0</v>
      </c>
      <c r="G20" s="36">
        <f t="shared" si="1"/>
        <v>0</v>
      </c>
      <c r="H20" s="36">
        <f t="shared" si="7"/>
        <v>0</v>
      </c>
      <c r="I20" s="36">
        <f t="shared" si="3"/>
        <v>0</v>
      </c>
      <c r="J20" s="36">
        <f t="shared" si="4"/>
        <v>0</v>
      </c>
      <c r="K20" s="37">
        <v>0</v>
      </c>
      <c r="L20" s="146">
        <f t="shared" si="5"/>
        <v>0</v>
      </c>
      <c r="M20" s="32"/>
      <c r="N20" s="32"/>
      <c r="O20" s="32"/>
    </row>
    <row r="21" spans="1:16" ht="25.2" customHeight="1" x14ac:dyDescent="0.3">
      <c r="A21" s="30"/>
      <c r="B21" s="33" t="s">
        <v>123</v>
      </c>
      <c r="C21" s="34" t="s">
        <v>124</v>
      </c>
      <c r="D21" s="35">
        <f>Estimate!K$617</f>
        <v>0</v>
      </c>
      <c r="E21" s="35">
        <f>Estimate!$N617</f>
        <v>0</v>
      </c>
      <c r="F21" s="36">
        <f t="shared" si="0"/>
        <v>0</v>
      </c>
      <c r="G21" s="36">
        <f t="shared" si="1"/>
        <v>0</v>
      </c>
      <c r="H21" s="36">
        <f t="shared" ref="H21" si="9">D21+E21+F21+G21</f>
        <v>0</v>
      </c>
      <c r="I21" s="36">
        <f t="shared" si="3"/>
        <v>0</v>
      </c>
      <c r="J21" s="36">
        <f t="shared" si="4"/>
        <v>0</v>
      </c>
      <c r="K21" s="37">
        <v>0</v>
      </c>
      <c r="L21" s="146">
        <f t="shared" si="5"/>
        <v>0</v>
      </c>
      <c r="M21" s="32"/>
      <c r="N21" s="32"/>
      <c r="O21" s="32"/>
    </row>
    <row r="22" spans="1:16" ht="20.100000000000001" customHeight="1" x14ac:dyDescent="0.3">
      <c r="A22" s="30"/>
      <c r="B22" s="38"/>
      <c r="C22" s="34"/>
      <c r="D22" s="35"/>
      <c r="E22" s="36"/>
      <c r="F22" s="36"/>
      <c r="G22" s="36"/>
      <c r="H22" s="36"/>
      <c r="I22" s="36"/>
      <c r="J22" s="36"/>
      <c r="K22" s="36"/>
      <c r="L22" s="146"/>
      <c r="M22" s="32"/>
      <c r="N22" s="32"/>
      <c r="O22" s="32"/>
    </row>
    <row r="23" spans="1:16" ht="20.100000000000001" customHeight="1" x14ac:dyDescent="0.3">
      <c r="A23" s="30"/>
      <c r="B23" s="155"/>
      <c r="C23" s="154" t="s">
        <v>24</v>
      </c>
      <c r="D23" s="154">
        <f t="shared" ref="D23:L23" si="10">SUM(D$5:D$22)</f>
        <v>1006.7244228142077</v>
      </c>
      <c r="E23" s="154">
        <f t="shared" si="10"/>
        <v>0</v>
      </c>
      <c r="F23" s="154">
        <f t="shared" si="10"/>
        <v>0</v>
      </c>
      <c r="G23" s="154">
        <f t="shared" si="10"/>
        <v>0</v>
      </c>
      <c r="H23" s="154">
        <f t="shared" si="10"/>
        <v>1006.7244228142077</v>
      </c>
      <c r="I23" s="154">
        <f t="shared" si="10"/>
        <v>100.67244228142079</v>
      </c>
      <c r="J23" s="154">
        <f t="shared" si="10"/>
        <v>100.67244228142079</v>
      </c>
      <c r="K23" s="154">
        <f t="shared" si="10"/>
        <v>821760</v>
      </c>
      <c r="L23" s="156">
        <f t="shared" si="10"/>
        <v>822968.0693073771</v>
      </c>
      <c r="M23" s="32"/>
      <c r="N23" s="32"/>
      <c r="O23" s="32"/>
    </row>
    <row r="24" spans="1:16" ht="20.100000000000001" customHeight="1" thickBot="1" x14ac:dyDescent="0.35">
      <c r="A24" s="30"/>
      <c r="B24" s="39"/>
      <c r="C24" s="40"/>
      <c r="D24" s="41"/>
      <c r="E24" s="41"/>
      <c r="F24" s="41"/>
      <c r="G24" s="41"/>
      <c r="H24" s="41"/>
      <c r="I24" s="41"/>
      <c r="J24" s="41"/>
      <c r="K24" s="42"/>
      <c r="L24" s="147"/>
    </row>
    <row r="25" spans="1:16" ht="15" thickBot="1" x14ac:dyDescent="0.35">
      <c r="A25" s="30"/>
      <c r="M25" s="28"/>
    </row>
    <row r="26" spans="1:16" ht="30" customHeight="1" thickBot="1" x14ac:dyDescent="0.35">
      <c r="A26" s="30"/>
      <c r="B26" s="166" t="s">
        <v>15</v>
      </c>
      <c r="C26" s="167"/>
      <c r="D26" s="167"/>
      <c r="E26" s="168"/>
      <c r="F26" s="29"/>
      <c r="G26" s="166" t="s">
        <v>40</v>
      </c>
      <c r="H26" s="167"/>
      <c r="I26" s="167"/>
      <c r="J26" s="167"/>
      <c r="K26" s="167"/>
      <c r="L26" s="168"/>
      <c r="M26" s="28"/>
    </row>
    <row r="27" spans="1:16" ht="25.2" customHeight="1" thickBot="1" x14ac:dyDescent="0.35">
      <c r="A27" s="30"/>
      <c r="B27" s="43">
        <v>1</v>
      </c>
      <c r="C27" s="22" t="s">
        <v>26</v>
      </c>
      <c r="D27" s="8"/>
      <c r="E27" s="7">
        <f>D23</f>
        <v>1006.7244228142077</v>
      </c>
      <c r="F27" s="29"/>
      <c r="G27" s="33">
        <v>1</v>
      </c>
      <c r="H27" s="169" t="s">
        <v>37</v>
      </c>
      <c r="I27" s="169"/>
      <c r="J27" s="169"/>
      <c r="K27" s="44"/>
      <c r="L27" s="16">
        <f>Estimate!Q$619</f>
        <v>78.402564776867038</v>
      </c>
      <c r="M27" s="28"/>
    </row>
    <row r="28" spans="1:16" ht="25.2" customHeight="1" thickBot="1" x14ac:dyDescent="0.35">
      <c r="A28" s="30"/>
      <c r="B28" s="38"/>
      <c r="C28" s="45" t="s">
        <v>28</v>
      </c>
      <c r="D28" s="11"/>
      <c r="E28" s="46">
        <f>E27*D28</f>
        <v>0</v>
      </c>
      <c r="F28" s="29"/>
      <c r="G28" s="38">
        <v>2</v>
      </c>
      <c r="H28" s="177" t="s">
        <v>38</v>
      </c>
      <c r="I28" s="177"/>
      <c r="J28" s="177"/>
      <c r="K28" s="47"/>
      <c r="L28" s="21">
        <f>L27/8</f>
        <v>9.8003205971083798</v>
      </c>
      <c r="M28" s="28"/>
    </row>
    <row r="29" spans="1:16" ht="25.2" customHeight="1" x14ac:dyDescent="0.3">
      <c r="A29" s="30"/>
      <c r="B29" s="38"/>
      <c r="C29" s="48" t="s">
        <v>30</v>
      </c>
      <c r="D29" s="12"/>
      <c r="E29" s="49">
        <v>0</v>
      </c>
      <c r="F29" s="29"/>
      <c r="G29" s="38">
        <v>3</v>
      </c>
      <c r="H29" s="177" t="s">
        <v>34</v>
      </c>
      <c r="I29" s="177"/>
      <c r="J29" s="177"/>
      <c r="K29" s="47"/>
      <c r="L29" s="13">
        <f>J30+J31+J32</f>
        <v>5</v>
      </c>
      <c r="M29" s="28"/>
    </row>
    <row r="30" spans="1:16" ht="25.2" customHeight="1" thickBot="1" x14ac:dyDescent="0.35">
      <c r="A30" s="30"/>
      <c r="B30" s="38">
        <v>2</v>
      </c>
      <c r="C30" s="23" t="s">
        <v>27</v>
      </c>
      <c r="D30" s="9"/>
      <c r="E30" s="1">
        <f>E23</f>
        <v>0</v>
      </c>
      <c r="F30" s="29"/>
      <c r="G30" s="38">
        <v>4</v>
      </c>
      <c r="H30" s="177" t="s">
        <v>48</v>
      </c>
      <c r="I30" s="177"/>
      <c r="J30" s="50">
        <v>3</v>
      </c>
      <c r="K30" s="51"/>
      <c r="L30" s="52"/>
      <c r="M30" s="28"/>
      <c r="N30" s="32"/>
      <c r="O30" s="32"/>
      <c r="P30" s="32"/>
    </row>
    <row r="31" spans="1:16" ht="25.2" customHeight="1" thickBot="1" x14ac:dyDescent="0.35">
      <c r="A31" s="30"/>
      <c r="B31" s="38"/>
      <c r="C31" s="45" t="s">
        <v>19</v>
      </c>
      <c r="D31" s="11"/>
      <c r="E31" s="46">
        <f>E30*D31</f>
        <v>0</v>
      </c>
      <c r="F31" s="29"/>
      <c r="G31" s="38">
        <v>5</v>
      </c>
      <c r="H31" s="177" t="s">
        <v>35</v>
      </c>
      <c r="I31" s="177"/>
      <c r="J31" s="50">
        <v>1</v>
      </c>
      <c r="K31" s="51"/>
      <c r="L31" s="52"/>
      <c r="M31" s="28"/>
      <c r="N31" s="32"/>
      <c r="O31" s="32"/>
      <c r="P31" s="32"/>
    </row>
    <row r="32" spans="1:16" ht="25.2" customHeight="1" thickBot="1" x14ac:dyDescent="0.35">
      <c r="A32" s="30"/>
      <c r="B32" s="38">
        <v>3</v>
      </c>
      <c r="C32" s="23" t="s">
        <v>20</v>
      </c>
      <c r="D32" s="9"/>
      <c r="E32" s="1">
        <f>SUM(E27:E31)</f>
        <v>1006.7244228142077</v>
      </c>
      <c r="F32" s="29"/>
      <c r="G32" s="38">
        <v>6</v>
      </c>
      <c r="H32" s="177" t="s">
        <v>36</v>
      </c>
      <c r="I32" s="177"/>
      <c r="J32" s="50">
        <v>1</v>
      </c>
      <c r="K32" s="51"/>
      <c r="L32" s="52"/>
      <c r="M32" s="28"/>
      <c r="N32" s="32"/>
      <c r="O32" s="32"/>
      <c r="P32" s="32"/>
    </row>
    <row r="33" spans="1:16" ht="25.2" customHeight="1" thickBot="1" x14ac:dyDescent="0.35">
      <c r="A33" s="30"/>
      <c r="B33" s="38"/>
      <c r="C33" s="45" t="s">
        <v>29</v>
      </c>
      <c r="D33" s="19">
        <v>0.1</v>
      </c>
      <c r="E33" s="46">
        <f>E32*D33</f>
        <v>100.67244228142079</v>
      </c>
      <c r="F33" s="29"/>
      <c r="G33" s="38">
        <v>7</v>
      </c>
      <c r="H33" s="177" t="s">
        <v>14</v>
      </c>
      <c r="I33" s="177"/>
      <c r="J33" s="177"/>
      <c r="K33" s="47"/>
      <c r="L33" s="52">
        <f>(L30*J30/L29)+(L31*J31/L29)+(L32*J32/L29)</f>
        <v>0</v>
      </c>
      <c r="M33" s="28"/>
      <c r="N33" s="32"/>
      <c r="O33" s="32"/>
      <c r="P33" s="32"/>
    </row>
    <row r="34" spans="1:16" ht="25.2" customHeight="1" thickBot="1" x14ac:dyDescent="0.35">
      <c r="A34" s="30"/>
      <c r="B34" s="38"/>
      <c r="C34" s="45" t="s">
        <v>32</v>
      </c>
      <c r="D34" s="19">
        <v>0.1</v>
      </c>
      <c r="E34" s="46">
        <f>E32*D34</f>
        <v>100.67244228142079</v>
      </c>
      <c r="F34" s="29"/>
      <c r="G34" s="39">
        <v>8</v>
      </c>
      <c r="H34" s="176" t="s">
        <v>39</v>
      </c>
      <c r="I34" s="176"/>
      <c r="J34" s="176"/>
      <c r="K34" s="53"/>
      <c r="L34" s="20">
        <f>L33</f>
        <v>0</v>
      </c>
      <c r="M34" s="28"/>
      <c r="N34" s="32"/>
      <c r="O34" s="32"/>
      <c r="P34" s="32"/>
    </row>
    <row r="35" spans="1:16" ht="25.2" customHeight="1" thickBot="1" x14ac:dyDescent="0.35">
      <c r="A35" s="30"/>
      <c r="B35" s="38">
        <v>4</v>
      </c>
      <c r="C35" s="23" t="s">
        <v>31</v>
      </c>
      <c r="D35" s="10"/>
      <c r="E35" s="1">
        <f>SUM(E32:E34)</f>
        <v>1208.0693073770494</v>
      </c>
      <c r="F35" s="29"/>
      <c r="G35" s="31"/>
      <c r="H35" s="24"/>
      <c r="I35" s="14"/>
      <c r="J35" s="15"/>
      <c r="K35" s="15"/>
      <c r="L35" s="29"/>
      <c r="M35" s="28"/>
      <c r="N35" s="32"/>
      <c r="O35" s="32"/>
      <c r="P35" s="32"/>
    </row>
    <row r="36" spans="1:16" ht="25.2" customHeight="1" thickBot="1" x14ac:dyDescent="0.35">
      <c r="A36" s="30"/>
      <c r="B36" s="55"/>
      <c r="C36" s="56" t="s">
        <v>536</v>
      </c>
      <c r="D36" s="144"/>
      <c r="E36" s="57">
        <v>85340</v>
      </c>
      <c r="F36" s="29"/>
      <c r="G36" s="54"/>
      <c r="H36" s="173" t="s">
        <v>41</v>
      </c>
      <c r="I36" s="174"/>
      <c r="J36" s="174"/>
      <c r="K36" s="174"/>
      <c r="L36" s="175"/>
      <c r="M36" s="28"/>
      <c r="N36" s="32"/>
      <c r="O36" s="32"/>
      <c r="P36" s="32"/>
    </row>
    <row r="37" spans="1:16" ht="25.2" customHeight="1" thickBot="1" x14ac:dyDescent="0.35">
      <c r="A37" s="30"/>
      <c r="B37" s="55"/>
      <c r="C37" s="56" t="s">
        <v>537</v>
      </c>
      <c r="D37" s="17"/>
      <c r="E37" s="57">
        <v>736420</v>
      </c>
      <c r="F37" s="29"/>
      <c r="G37" s="31"/>
      <c r="H37" s="29"/>
      <c r="I37" s="6"/>
      <c r="J37" s="29"/>
      <c r="K37" s="29"/>
      <c r="L37" s="29"/>
      <c r="M37" s="28"/>
      <c r="N37" s="32"/>
      <c r="O37" s="32"/>
      <c r="P37" s="32"/>
    </row>
    <row r="38" spans="1:16" ht="25.2" customHeight="1" thickBot="1" x14ac:dyDescent="0.35">
      <c r="A38" s="30"/>
      <c r="B38" s="58">
        <v>5</v>
      </c>
      <c r="C38" s="25" t="s">
        <v>33</v>
      </c>
      <c r="D38" s="18"/>
      <c r="E38" s="26">
        <f>SUM(E35:E37)</f>
        <v>822968.0693073771</v>
      </c>
      <c r="F38" s="29"/>
      <c r="G38" s="29"/>
      <c r="H38" s="29"/>
      <c r="I38" s="29"/>
      <c r="L38" s="29"/>
      <c r="M38" s="28"/>
      <c r="N38" s="32"/>
      <c r="O38" s="32"/>
      <c r="P38" s="32"/>
    </row>
    <row r="39" spans="1:16" x14ac:dyDescent="0.3">
      <c r="A39" s="30"/>
      <c r="B39" s="29"/>
      <c r="E39" s="29"/>
      <c r="F39" s="29"/>
      <c r="J39" s="29"/>
      <c r="K39" s="29"/>
      <c r="L39" s="29"/>
      <c r="M39" s="28"/>
    </row>
    <row r="40" spans="1:16" ht="15" thickBot="1" x14ac:dyDescent="0.35">
      <c r="A40" s="59"/>
      <c r="B40" s="60"/>
      <c r="C40" s="61"/>
      <c r="D40" s="61"/>
      <c r="E40" s="62"/>
      <c r="F40" s="62"/>
      <c r="J40" s="62"/>
      <c r="K40" s="62"/>
      <c r="L40" s="62"/>
      <c r="M40" s="63"/>
    </row>
  </sheetData>
  <mergeCells count="13">
    <mergeCell ref="H36:L36"/>
    <mergeCell ref="H34:J34"/>
    <mergeCell ref="H28:J28"/>
    <mergeCell ref="H29:J29"/>
    <mergeCell ref="H33:J33"/>
    <mergeCell ref="H30:I30"/>
    <mergeCell ref="H31:I31"/>
    <mergeCell ref="H32:I32"/>
    <mergeCell ref="B26:E26"/>
    <mergeCell ref="G26:L26"/>
    <mergeCell ref="H27:J27"/>
    <mergeCell ref="B3:L3"/>
    <mergeCell ref="A1:L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E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282E"/>
    <pageSetUpPr fitToPage="1"/>
  </sheetPr>
  <dimension ref="A1:R629"/>
  <sheetViews>
    <sheetView topLeftCell="A312" zoomScale="55" zoomScaleNormal="55" zoomScaleSheetLayoutView="85" workbookViewId="0">
      <selection activeCell="I619" sqref="I619:R619"/>
    </sheetView>
  </sheetViews>
  <sheetFormatPr defaultColWidth="8.88671875" defaultRowHeight="14.4" x14ac:dyDescent="0.3"/>
  <cols>
    <col min="1" max="1" width="6.109375" style="64" customWidth="1"/>
    <col min="2" max="2" width="12.44140625" style="64" customWidth="1"/>
    <col min="3" max="3" width="16.6640625" style="64" customWidth="1"/>
    <col min="4" max="4" width="12.88671875" style="136" bestFit="1" customWidth="1"/>
    <col min="5" max="5" width="82.6640625" style="137" bestFit="1" customWidth="1"/>
    <col min="6" max="6" width="12.109375" style="138" customWidth="1"/>
    <col min="7" max="7" width="14.5546875" style="64" hidden="1" customWidth="1"/>
    <col min="8" max="8" width="11.6640625" style="139" customWidth="1"/>
    <col min="9" max="9" width="11.88671875" style="139" customWidth="1"/>
    <col min="10" max="10" width="18.6640625" style="138" customWidth="1"/>
    <col min="11" max="13" width="18.6640625" style="140" customWidth="1"/>
    <col min="14" max="15" width="18.6640625" style="141" customWidth="1"/>
    <col min="16" max="16" width="18.6640625" style="140" customWidth="1"/>
    <col min="17" max="17" width="18.6640625" style="142" customWidth="1"/>
    <col min="18" max="18" width="24.6640625" style="143" customWidth="1"/>
    <col min="19" max="19" width="12.33203125" style="64" bestFit="1" customWidth="1"/>
    <col min="20" max="20" width="8.88671875" style="64"/>
    <col min="21" max="21" width="14.5546875" style="64" bestFit="1" customWidth="1"/>
    <col min="22" max="16384" width="8.88671875" style="64"/>
  </cols>
  <sheetData>
    <row r="1" spans="1:18" ht="75" customHeight="1" thickBot="1" x14ac:dyDescent="0.35">
      <c r="A1" s="178"/>
      <c r="B1" s="179"/>
      <c r="C1" s="179"/>
      <c r="D1" s="180"/>
      <c r="E1" s="208" t="s">
        <v>192</v>
      </c>
      <c r="F1" s="209"/>
      <c r="G1" s="209"/>
      <c r="H1" s="209"/>
      <c r="I1" s="209"/>
      <c r="J1" s="209"/>
      <c r="K1" s="209"/>
      <c r="L1" s="209"/>
      <c r="M1" s="210"/>
      <c r="N1" s="199" t="s">
        <v>171</v>
      </c>
      <c r="O1" s="200"/>
      <c r="P1" s="196">
        <f>SUM(R$621+R$622)</f>
        <v>1006.7244228142077</v>
      </c>
      <c r="Q1" s="197"/>
      <c r="R1" s="198"/>
    </row>
    <row r="2" spans="1:18" ht="69.900000000000006" customHeight="1" thickBot="1" x14ac:dyDescent="0.35">
      <c r="A2" s="181"/>
      <c r="B2" s="182"/>
      <c r="C2" s="182"/>
      <c r="D2" s="183"/>
      <c r="E2" s="206" t="s">
        <v>193</v>
      </c>
      <c r="F2" s="207"/>
      <c r="G2" s="207"/>
      <c r="H2" s="207"/>
      <c r="I2" s="207"/>
      <c r="J2" s="207"/>
      <c r="K2" s="207"/>
      <c r="L2" s="207"/>
      <c r="M2" s="207"/>
      <c r="N2" s="199" t="s">
        <v>169</v>
      </c>
      <c r="O2" s="200"/>
      <c r="P2" s="196">
        <f>P$1*'Bid Recap &amp; Summary'!D$33</f>
        <v>100.67244228142079</v>
      </c>
      <c r="Q2" s="197"/>
      <c r="R2" s="198"/>
    </row>
    <row r="3" spans="1:18" ht="65.099999999999994" customHeight="1" thickBot="1" x14ac:dyDescent="0.35">
      <c r="A3" s="184"/>
      <c r="B3" s="185"/>
      <c r="C3" s="185"/>
      <c r="D3" s="186"/>
      <c r="E3" s="193" t="s">
        <v>194</v>
      </c>
      <c r="F3" s="194"/>
      <c r="G3" s="194"/>
      <c r="H3" s="194"/>
      <c r="I3" s="194"/>
      <c r="J3" s="194"/>
      <c r="K3" s="194"/>
      <c r="L3" s="194"/>
      <c r="M3" s="195"/>
      <c r="N3" s="199" t="s">
        <v>170</v>
      </c>
      <c r="O3" s="200"/>
      <c r="P3" s="196">
        <f>P$1*'Bid Recap &amp; Summary'!D$34</f>
        <v>100.67244228142079</v>
      </c>
      <c r="Q3" s="197"/>
      <c r="R3" s="198"/>
    </row>
    <row r="4" spans="1:18" ht="60" customHeight="1" thickBot="1" x14ac:dyDescent="0.35">
      <c r="A4" s="187"/>
      <c r="B4" s="188"/>
      <c r="C4" s="188"/>
      <c r="D4" s="189"/>
      <c r="E4" s="193" t="s">
        <v>188</v>
      </c>
      <c r="F4" s="194"/>
      <c r="G4" s="194"/>
      <c r="H4" s="194"/>
      <c r="I4" s="194"/>
      <c r="J4" s="194"/>
      <c r="K4" s="194"/>
      <c r="L4" s="194"/>
      <c r="M4" s="195"/>
      <c r="N4" s="201" t="s">
        <v>149</v>
      </c>
      <c r="O4" s="203"/>
      <c r="P4" s="196">
        <f>SUM('Bid Recap &amp; Summary'!E$28+'Bid Recap &amp; Summary'!E$29+'Bid Recap &amp; Summary'!E$31)+SUM('Bid Recap &amp; Summary'!E$36:E$37)</f>
        <v>821760</v>
      </c>
      <c r="Q4" s="197"/>
      <c r="R4" s="198"/>
    </row>
    <row r="5" spans="1:18" ht="60" customHeight="1" thickBot="1" x14ac:dyDescent="0.35">
      <c r="A5" s="190"/>
      <c r="B5" s="191"/>
      <c r="C5" s="191"/>
      <c r="D5" s="192"/>
      <c r="E5" s="159" t="s">
        <v>114</v>
      </c>
      <c r="F5" s="204">
        <f ca="1">TODAY()</f>
        <v>45569</v>
      </c>
      <c r="G5" s="204"/>
      <c r="H5" s="204"/>
      <c r="I5" s="204"/>
      <c r="J5" s="204"/>
      <c r="K5" s="204"/>
      <c r="L5" s="204"/>
      <c r="M5" s="205"/>
      <c r="N5" s="201" t="s">
        <v>177</v>
      </c>
      <c r="O5" s="203"/>
      <c r="P5" s="201">
        <f>SUM(P$1:R$4)</f>
        <v>822968.0693073771</v>
      </c>
      <c r="Q5" s="202"/>
      <c r="R5" s="203"/>
    </row>
    <row r="6" spans="1:18" ht="50.1" customHeight="1" thickBot="1" x14ac:dyDescent="0.35">
      <c r="A6" s="65" t="s">
        <v>0</v>
      </c>
      <c r="B6" s="65" t="s">
        <v>10</v>
      </c>
      <c r="C6" s="66" t="s">
        <v>11</v>
      </c>
      <c r="D6" s="67" t="s">
        <v>43</v>
      </c>
      <c r="E6" s="65" t="s">
        <v>1</v>
      </c>
      <c r="F6" s="68" t="s">
        <v>2</v>
      </c>
      <c r="H6" s="65" t="s">
        <v>3</v>
      </c>
      <c r="I6" s="65" t="s">
        <v>132</v>
      </c>
      <c r="J6" s="68" t="s">
        <v>130</v>
      </c>
      <c r="K6" s="69" t="s">
        <v>9</v>
      </c>
      <c r="L6" s="69" t="s">
        <v>4</v>
      </c>
      <c r="M6" s="69" t="s">
        <v>131</v>
      </c>
      <c r="N6" s="70" t="s">
        <v>6</v>
      </c>
      <c r="O6" s="70" t="s">
        <v>7</v>
      </c>
      <c r="P6" s="71" t="s">
        <v>5</v>
      </c>
      <c r="Q6" s="72" t="s">
        <v>8</v>
      </c>
      <c r="R6" s="73"/>
    </row>
    <row r="7" spans="1:18" ht="30" customHeight="1" thickBot="1" x14ac:dyDescent="0.35">
      <c r="A7" s="74"/>
      <c r="B7" s="75"/>
      <c r="C7" s="75"/>
      <c r="D7" s="75"/>
      <c r="E7" s="75"/>
      <c r="F7" s="76"/>
      <c r="H7" s="76"/>
      <c r="I7" s="75"/>
      <c r="J7" s="76"/>
      <c r="K7" s="75"/>
      <c r="L7" s="77"/>
      <c r="M7" s="78">
        <f>'Bid Recap &amp; Summary'!L$34</f>
        <v>0</v>
      </c>
      <c r="N7" s="79"/>
      <c r="O7" s="79"/>
      <c r="P7" s="80"/>
      <c r="Q7" s="81"/>
      <c r="R7" s="82"/>
    </row>
    <row r="8" spans="1:18" s="164" customFormat="1" ht="20.100000000000001" customHeight="1" x14ac:dyDescent="0.3">
      <c r="A8" s="160"/>
      <c r="B8" s="161"/>
      <c r="C8" s="161"/>
      <c r="D8" s="162" t="s">
        <v>133</v>
      </c>
      <c r="E8" s="162" t="s">
        <v>134</v>
      </c>
      <c r="F8" s="163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5"/>
    </row>
    <row r="9" spans="1:18" ht="14.4" customHeight="1" x14ac:dyDescent="0.3">
      <c r="A9" s="83" t="str">
        <f>IF(TRIM(H9)&lt;&gt;"",COUNTA(H9:$H$9)&amp;"","")</f>
        <v>1</v>
      </c>
      <c r="B9" s="84"/>
      <c r="C9" s="84"/>
      <c r="D9" s="85"/>
      <c r="E9" s="86" t="s">
        <v>184</v>
      </c>
      <c r="F9" s="87">
        <v>1</v>
      </c>
      <c r="H9" s="88" t="s">
        <v>181</v>
      </c>
      <c r="I9" s="89">
        <f>IF(F9=0,"",0)</f>
        <v>0</v>
      </c>
      <c r="J9" s="90">
        <f t="shared" ref="J9:J14" si="0">IF(F9=0,"",F9+(F9*I9))</f>
        <v>1</v>
      </c>
      <c r="K9" s="91">
        <f>IF(F9=0,"",0)</f>
        <v>0</v>
      </c>
      <c r="L9" s="92">
        <f>IF(F9=0,"",K9*J9)</f>
        <v>0</v>
      </c>
      <c r="M9" s="93">
        <f>IF(F9=0,"",M$7)</f>
        <v>0</v>
      </c>
      <c r="N9" s="94">
        <f>IF(F9=0,"",0)</f>
        <v>0</v>
      </c>
      <c r="O9" s="94">
        <f>IF(F9=0,"",N9*J9)</f>
        <v>0</v>
      </c>
      <c r="P9" s="92">
        <f>IF(F9=0,"",O9*M9)</f>
        <v>0</v>
      </c>
      <c r="Q9" s="95">
        <f>IF(F9=0,"",L9+P9)</f>
        <v>0</v>
      </c>
      <c r="R9" s="96"/>
    </row>
    <row r="10" spans="1:18" x14ac:dyDescent="0.3">
      <c r="A10" s="83" t="str">
        <f>IF(TRIM(H10)&lt;&gt;"",COUNTA(H9:$H$10)&amp;"","")</f>
        <v>2</v>
      </c>
      <c r="B10" s="84"/>
      <c r="C10" s="84"/>
      <c r="D10" s="85"/>
      <c r="E10" s="86" t="s">
        <v>126</v>
      </c>
      <c r="F10" s="87">
        <v>1</v>
      </c>
      <c r="H10" s="88" t="s">
        <v>181</v>
      </c>
      <c r="I10" s="89">
        <f t="shared" ref="I10:I14" si="1">IF(F10=0,"",0)</f>
        <v>0</v>
      </c>
      <c r="J10" s="90">
        <f t="shared" si="0"/>
        <v>1</v>
      </c>
      <c r="K10" s="91">
        <f t="shared" ref="K10:K14" si="2">IF(F10=0,"",0)</f>
        <v>0</v>
      </c>
      <c r="L10" s="92">
        <f t="shared" ref="L10:L14" si="3">IF(F10=0,"",K10*J10)</f>
        <v>0</v>
      </c>
      <c r="M10" s="93">
        <f t="shared" ref="M10:M14" si="4">IF(F10=0,"",M$7)</f>
        <v>0</v>
      </c>
      <c r="N10" s="94">
        <f t="shared" ref="N10:N14" si="5">IF(F10=0,"",0)</f>
        <v>0</v>
      </c>
      <c r="O10" s="94">
        <f>IF(F10=0,"",N10*J10)</f>
        <v>0</v>
      </c>
      <c r="P10" s="92">
        <f t="shared" ref="P10:P14" si="6">IF(F10=0,"",O10*M10)</f>
        <v>0</v>
      </c>
      <c r="Q10" s="95">
        <f t="shared" ref="Q10:Q14" si="7">IF(F10=0,"",L10+P10)</f>
        <v>0</v>
      </c>
      <c r="R10" s="96"/>
    </row>
    <row r="11" spans="1:18" x14ac:dyDescent="0.3">
      <c r="A11" s="83" t="str">
        <f>IF(TRIM(H11)&lt;&gt;"",COUNTA(H9:$H$11)&amp;"","")</f>
        <v>3</v>
      </c>
      <c r="B11" s="84"/>
      <c r="C11" s="84"/>
      <c r="D11" s="85"/>
      <c r="E11" s="86" t="s">
        <v>127</v>
      </c>
      <c r="F11" s="87">
        <v>1</v>
      </c>
      <c r="H11" s="88" t="s">
        <v>181</v>
      </c>
      <c r="I11" s="89">
        <f t="shared" si="1"/>
        <v>0</v>
      </c>
      <c r="J11" s="90">
        <f t="shared" si="0"/>
        <v>1</v>
      </c>
      <c r="K11" s="91">
        <f t="shared" si="2"/>
        <v>0</v>
      </c>
      <c r="L11" s="92">
        <f t="shared" si="3"/>
        <v>0</v>
      </c>
      <c r="M11" s="93">
        <f t="shared" si="4"/>
        <v>0</v>
      </c>
      <c r="N11" s="94">
        <f t="shared" si="5"/>
        <v>0</v>
      </c>
      <c r="O11" s="94">
        <f t="shared" ref="O11:O14" si="8">IF(F11=0,"",N11*J11)</f>
        <v>0</v>
      </c>
      <c r="P11" s="92">
        <f t="shared" si="6"/>
        <v>0</v>
      </c>
      <c r="Q11" s="95">
        <f t="shared" si="7"/>
        <v>0</v>
      </c>
      <c r="R11" s="96"/>
    </row>
    <row r="12" spans="1:18" x14ac:dyDescent="0.3">
      <c r="A12" s="83" t="str">
        <f>IF(TRIM(H12)&lt;&gt;"",COUNTA(H9:$H$12)&amp;"","")</f>
        <v>4</v>
      </c>
      <c r="B12" s="84"/>
      <c r="C12" s="84"/>
      <c r="D12" s="85"/>
      <c r="E12" s="86" t="s">
        <v>187</v>
      </c>
      <c r="F12" s="87">
        <v>1</v>
      </c>
      <c r="H12" s="88" t="s">
        <v>181</v>
      </c>
      <c r="I12" s="89">
        <f t="shared" si="1"/>
        <v>0</v>
      </c>
      <c r="J12" s="90">
        <f t="shared" si="0"/>
        <v>1</v>
      </c>
      <c r="K12" s="91">
        <f t="shared" si="2"/>
        <v>0</v>
      </c>
      <c r="L12" s="92">
        <f t="shared" si="3"/>
        <v>0</v>
      </c>
      <c r="M12" s="93">
        <f t="shared" si="4"/>
        <v>0</v>
      </c>
      <c r="N12" s="94">
        <f t="shared" si="5"/>
        <v>0</v>
      </c>
      <c r="O12" s="94">
        <f t="shared" si="8"/>
        <v>0</v>
      </c>
      <c r="P12" s="92">
        <f t="shared" si="6"/>
        <v>0</v>
      </c>
      <c r="Q12" s="95">
        <f t="shared" si="7"/>
        <v>0</v>
      </c>
      <c r="R12" s="96"/>
    </row>
    <row r="13" spans="1:18" x14ac:dyDescent="0.3">
      <c r="A13" s="83" t="str">
        <f>IF(TRIM(H13)&lt;&gt;"",COUNTA(H9:$H$13)&amp;"","")</f>
        <v>5</v>
      </c>
      <c r="B13" s="84"/>
      <c r="C13" s="84"/>
      <c r="D13" s="85"/>
      <c r="E13" s="97" t="s">
        <v>129</v>
      </c>
      <c r="F13" s="87">
        <v>1</v>
      </c>
      <c r="H13" s="88" t="s">
        <v>181</v>
      </c>
      <c r="I13" s="89">
        <f t="shared" si="1"/>
        <v>0</v>
      </c>
      <c r="J13" s="90">
        <f t="shared" si="0"/>
        <v>1</v>
      </c>
      <c r="K13" s="91">
        <f t="shared" si="2"/>
        <v>0</v>
      </c>
      <c r="L13" s="92">
        <f t="shared" si="3"/>
        <v>0</v>
      </c>
      <c r="M13" s="93">
        <f t="shared" si="4"/>
        <v>0</v>
      </c>
      <c r="N13" s="94">
        <f t="shared" si="5"/>
        <v>0</v>
      </c>
      <c r="O13" s="94">
        <f t="shared" si="8"/>
        <v>0</v>
      </c>
      <c r="P13" s="92">
        <f t="shared" si="6"/>
        <v>0</v>
      </c>
      <c r="Q13" s="95">
        <f t="shared" si="7"/>
        <v>0</v>
      </c>
      <c r="R13" s="96"/>
    </row>
    <row r="14" spans="1:18" x14ac:dyDescent="0.3">
      <c r="A14" s="83" t="str">
        <f>IF(TRIM(H14)&lt;&gt;"",COUNTA(H$9:$H14)&amp;"","")</f>
        <v>6</v>
      </c>
      <c r="B14" s="84"/>
      <c r="C14" s="84"/>
      <c r="D14" s="85"/>
      <c r="E14" s="97" t="s">
        <v>182</v>
      </c>
      <c r="F14" s="87">
        <v>1</v>
      </c>
      <c r="H14" s="88" t="s">
        <v>181</v>
      </c>
      <c r="I14" s="89">
        <f t="shared" si="1"/>
        <v>0</v>
      </c>
      <c r="J14" s="90">
        <f t="shared" si="0"/>
        <v>1</v>
      </c>
      <c r="K14" s="91">
        <f t="shared" si="2"/>
        <v>0</v>
      </c>
      <c r="L14" s="92">
        <f t="shared" si="3"/>
        <v>0</v>
      </c>
      <c r="M14" s="93">
        <f t="shared" si="4"/>
        <v>0</v>
      </c>
      <c r="N14" s="94">
        <f t="shared" si="5"/>
        <v>0</v>
      </c>
      <c r="O14" s="94">
        <f t="shared" si="8"/>
        <v>0</v>
      </c>
      <c r="P14" s="92">
        <f t="shared" si="6"/>
        <v>0</v>
      </c>
      <c r="Q14" s="95">
        <f t="shared" si="7"/>
        <v>0</v>
      </c>
      <c r="R14" s="96"/>
    </row>
    <row r="15" spans="1:18" ht="69" x14ac:dyDescent="0.3">
      <c r="A15" s="83" t="str">
        <f>IF(TRIM(H15)&lt;&gt;"",COUNTA(H$9:$H15)&amp;"","")</f>
        <v>7</v>
      </c>
      <c r="B15" s="84"/>
      <c r="C15" s="84"/>
      <c r="D15" s="85"/>
      <c r="E15" s="86" t="s">
        <v>183</v>
      </c>
      <c r="F15" s="87">
        <v>1</v>
      </c>
      <c r="H15" s="88" t="s">
        <v>181</v>
      </c>
      <c r="I15" s="89">
        <f t="shared" ref="I15:I18" si="9">IF(F15=0,"",0)</f>
        <v>0</v>
      </c>
      <c r="J15" s="90">
        <f t="shared" ref="J15:J18" si="10">IF(F15=0,"",F15+(F15*I15))</f>
        <v>1</v>
      </c>
      <c r="K15" s="91">
        <f t="shared" ref="K15:K18" si="11">IF(F15=0,"",0)</f>
        <v>0</v>
      </c>
      <c r="L15" s="92">
        <f t="shared" ref="L15:L18" si="12">IF(F15=0,"",K15*J15)</f>
        <v>0</v>
      </c>
      <c r="M15" s="93">
        <f t="shared" ref="M15:M18" si="13">IF(F15=0,"",M$7)</f>
        <v>0</v>
      </c>
      <c r="N15" s="94">
        <f t="shared" ref="N15:N18" si="14">IF(F15=0,"",0)</f>
        <v>0</v>
      </c>
      <c r="O15" s="94">
        <f t="shared" ref="O15:O18" si="15">IF(F15=0,"",N15*J15)</f>
        <v>0</v>
      </c>
      <c r="P15" s="92">
        <f t="shared" ref="P15:P18" si="16">IF(F15=0,"",O15*M15)</f>
        <v>0</v>
      </c>
      <c r="Q15" s="95">
        <f t="shared" ref="Q15:Q18" si="17">IF(F15=0,"",L15+P15)</f>
        <v>0</v>
      </c>
      <c r="R15" s="96"/>
    </row>
    <row r="16" spans="1:18" x14ac:dyDescent="0.3">
      <c r="A16" s="83" t="str">
        <f>IF(TRIM(H16)&lt;&gt;"",COUNTA(H$9:$H16)&amp;"","")</f>
        <v>8</v>
      </c>
      <c r="B16" s="84"/>
      <c r="C16" s="84"/>
      <c r="D16" s="85"/>
      <c r="E16" s="97" t="s">
        <v>128</v>
      </c>
      <c r="F16" s="87">
        <v>1</v>
      </c>
      <c r="H16" s="88" t="s">
        <v>181</v>
      </c>
      <c r="I16" s="89">
        <f t="shared" ref="I16" si="18">IF(F16=0,"",0)</f>
        <v>0</v>
      </c>
      <c r="J16" s="90">
        <f t="shared" ref="J16" si="19">IF(F16=0,"",F16+(F16*I16))</f>
        <v>1</v>
      </c>
      <c r="K16" s="91">
        <f t="shared" ref="K16" si="20">IF(F16=0,"",0)</f>
        <v>0</v>
      </c>
      <c r="L16" s="92">
        <f t="shared" ref="L16" si="21">IF(F16=0,"",K16*J16)</f>
        <v>0</v>
      </c>
      <c r="M16" s="93">
        <f t="shared" ref="M16" si="22">IF(F16=0,"",M$7)</f>
        <v>0</v>
      </c>
      <c r="N16" s="94">
        <f t="shared" ref="N16" si="23">IF(F16=0,"",0)</f>
        <v>0</v>
      </c>
      <c r="O16" s="94">
        <f t="shared" ref="O16" si="24">IF(F16=0,"",N16*J16)</f>
        <v>0</v>
      </c>
      <c r="P16" s="92">
        <f t="shared" ref="P16" si="25">IF(F16=0,"",O16*M16)</f>
        <v>0</v>
      </c>
      <c r="Q16" s="95">
        <f t="shared" ref="Q16" si="26">IF(F16=0,"",L16+P16)</f>
        <v>0</v>
      </c>
      <c r="R16" s="96"/>
    </row>
    <row r="17" spans="1:18" x14ac:dyDescent="0.3">
      <c r="A17" s="83" t="str">
        <f>IF(TRIM(H17)&lt;&gt;"",COUNTA(H$9:$H17)&amp;"","")</f>
        <v>9</v>
      </c>
      <c r="B17" s="84"/>
      <c r="C17" s="84"/>
      <c r="D17" s="85"/>
      <c r="E17" s="97" t="s">
        <v>185</v>
      </c>
      <c r="F17" s="87">
        <v>1</v>
      </c>
      <c r="H17" s="88" t="s">
        <v>181</v>
      </c>
      <c r="I17" s="89">
        <f>IF(F17=0,"",0)</f>
        <v>0</v>
      </c>
      <c r="J17" s="90">
        <f>IF(F17=0,"",F17+(F17*I17))</f>
        <v>1</v>
      </c>
      <c r="K17" s="91">
        <f>IF(F17=0,"",0)</f>
        <v>0</v>
      </c>
      <c r="L17" s="92">
        <f>IF(F17=0,"",K17*J17)</f>
        <v>0</v>
      </c>
      <c r="M17" s="93">
        <f>IF(F17=0,"",M$7)</f>
        <v>0</v>
      </c>
      <c r="N17" s="94">
        <f>IF(F17=0,"",0)</f>
        <v>0</v>
      </c>
      <c r="O17" s="94">
        <f>IF(F17=0,"",N17*J17)</f>
        <v>0</v>
      </c>
      <c r="P17" s="92">
        <f>IF(F17=0,"",O17*M17)</f>
        <v>0</v>
      </c>
      <c r="Q17" s="95">
        <f>IF(F17=0,"",L17+P17)</f>
        <v>0</v>
      </c>
      <c r="R17" s="96"/>
    </row>
    <row r="18" spans="1:18" x14ac:dyDescent="0.3">
      <c r="A18" s="83" t="str">
        <f>IF(TRIM(H18)&lt;&gt;"",COUNTA(H$9:$H18)&amp;"","")</f>
        <v>10</v>
      </c>
      <c r="B18" s="84"/>
      <c r="C18" s="84"/>
      <c r="D18" s="85"/>
      <c r="E18" s="97" t="s">
        <v>186</v>
      </c>
      <c r="F18" s="87">
        <v>1</v>
      </c>
      <c r="H18" s="88" t="s">
        <v>181</v>
      </c>
      <c r="I18" s="89">
        <f t="shared" si="9"/>
        <v>0</v>
      </c>
      <c r="J18" s="90">
        <f t="shared" si="10"/>
        <v>1</v>
      </c>
      <c r="K18" s="91">
        <f t="shared" si="11"/>
        <v>0</v>
      </c>
      <c r="L18" s="92">
        <f t="shared" si="12"/>
        <v>0</v>
      </c>
      <c r="M18" s="93">
        <f t="shared" si="13"/>
        <v>0</v>
      </c>
      <c r="N18" s="94">
        <f t="shared" si="14"/>
        <v>0</v>
      </c>
      <c r="O18" s="94">
        <f t="shared" si="15"/>
        <v>0</v>
      </c>
      <c r="P18" s="92">
        <f t="shared" si="16"/>
        <v>0</v>
      </c>
      <c r="Q18" s="95">
        <f t="shared" si="17"/>
        <v>0</v>
      </c>
      <c r="R18" s="96"/>
    </row>
    <row r="19" spans="1:18" x14ac:dyDescent="0.3">
      <c r="A19" s="83" t="str">
        <f>IF(TRIM(H19)&lt;&gt;"",COUNTA(H$9:$H19)&amp;"","")</f>
        <v>11</v>
      </c>
      <c r="B19" s="84"/>
      <c r="C19" s="84"/>
      <c r="D19" s="85"/>
      <c r="E19" s="86" t="s">
        <v>179</v>
      </c>
      <c r="F19" s="87"/>
      <c r="H19" s="88" t="s">
        <v>147</v>
      </c>
      <c r="I19" s="89" t="str">
        <f t="shared" ref="I19:I22" si="27">IF(F19=0,"",0)</f>
        <v/>
      </c>
      <c r="J19" s="90" t="str">
        <f t="shared" ref="J19:J22" si="28">IF(F19=0,"",F19+(F19*I19))</f>
        <v/>
      </c>
      <c r="K19" s="91" t="str">
        <f t="shared" ref="K19:K22" si="29">IF(F19=0,"",0)</f>
        <v/>
      </c>
      <c r="L19" s="92" t="str">
        <f t="shared" ref="L19:L22" si="30">IF(F19=0,"",K19*J19)</f>
        <v/>
      </c>
      <c r="M19" s="93" t="str">
        <f t="shared" ref="M19:M22" si="31">IF(F19=0,"",M$7)</f>
        <v/>
      </c>
      <c r="N19" s="94" t="str">
        <f t="shared" ref="N19:N22" si="32">IF(F19=0,"",0)</f>
        <v/>
      </c>
      <c r="O19" s="94" t="str">
        <f t="shared" ref="O19:O22" si="33">IF(F19=0,"",N19*J19)</f>
        <v/>
      </c>
      <c r="P19" s="92" t="str">
        <f t="shared" ref="P19:P22" si="34">IF(F19=0,"",O19*M19)</f>
        <v/>
      </c>
      <c r="Q19" s="95" t="str">
        <f t="shared" ref="Q19:Q22" si="35">IF(F19=0,"",L19+P19)</f>
        <v/>
      </c>
      <c r="R19" s="96"/>
    </row>
    <row r="20" spans="1:18" x14ac:dyDescent="0.3">
      <c r="A20" s="83" t="str">
        <f>IF(TRIM(H20)&lt;&gt;"",COUNTA(H$9:$H20)&amp;"","")</f>
        <v>12</v>
      </c>
      <c r="B20" s="84"/>
      <c r="C20" s="84"/>
      <c r="D20" s="85"/>
      <c r="E20" s="86" t="s">
        <v>180</v>
      </c>
      <c r="F20" s="87"/>
      <c r="H20" s="88" t="s">
        <v>175</v>
      </c>
      <c r="I20" s="89" t="str">
        <f t="shared" si="27"/>
        <v/>
      </c>
      <c r="J20" s="90" t="str">
        <f t="shared" si="28"/>
        <v/>
      </c>
      <c r="K20" s="91" t="str">
        <f t="shared" si="29"/>
        <v/>
      </c>
      <c r="L20" s="92" t="str">
        <f t="shared" si="30"/>
        <v/>
      </c>
      <c r="M20" s="93" t="str">
        <f t="shared" si="31"/>
        <v/>
      </c>
      <c r="N20" s="94" t="str">
        <f t="shared" si="32"/>
        <v/>
      </c>
      <c r="O20" s="94" t="str">
        <f t="shared" si="33"/>
        <v/>
      </c>
      <c r="P20" s="92" t="str">
        <f t="shared" si="34"/>
        <v/>
      </c>
      <c r="Q20" s="95" t="str">
        <f t="shared" si="35"/>
        <v/>
      </c>
      <c r="R20" s="96"/>
    </row>
    <row r="21" spans="1:18" ht="41.4" x14ac:dyDescent="0.3">
      <c r="A21" s="83" t="str">
        <f>IF(TRIM(H21)&lt;&gt;"",COUNTA(H$9:$H21)&amp;"","")</f>
        <v>13</v>
      </c>
      <c r="B21" s="84"/>
      <c r="C21" s="149" t="s">
        <v>528</v>
      </c>
      <c r="D21" s="85"/>
      <c r="E21" s="97" t="s">
        <v>527</v>
      </c>
      <c r="F21" s="87">
        <v>1</v>
      </c>
      <c r="H21" s="88" t="s">
        <v>181</v>
      </c>
      <c r="I21" s="89">
        <f t="shared" si="27"/>
        <v>0</v>
      </c>
      <c r="J21" s="90">
        <f t="shared" si="28"/>
        <v>1</v>
      </c>
      <c r="K21" s="91">
        <f t="shared" si="29"/>
        <v>0</v>
      </c>
      <c r="L21" s="92">
        <f t="shared" si="30"/>
        <v>0</v>
      </c>
      <c r="M21" s="93">
        <f t="shared" si="31"/>
        <v>0</v>
      </c>
      <c r="N21" s="94">
        <f t="shared" si="32"/>
        <v>0</v>
      </c>
      <c r="O21" s="94">
        <f t="shared" si="33"/>
        <v>0</v>
      </c>
      <c r="P21" s="92">
        <f t="shared" si="34"/>
        <v>0</v>
      </c>
      <c r="Q21" s="95">
        <f t="shared" si="35"/>
        <v>0</v>
      </c>
      <c r="R21" s="96"/>
    </row>
    <row r="22" spans="1:18" ht="15" thickBot="1" x14ac:dyDescent="0.35">
      <c r="A22" s="83" t="str">
        <f>IF(TRIM(H22)&lt;&gt;"",COUNTA(H$9:$H22)&amp;"","")</f>
        <v/>
      </c>
      <c r="B22" s="98"/>
      <c r="C22" s="98"/>
      <c r="D22" s="85"/>
      <c r="E22" s="99"/>
      <c r="F22" s="87"/>
      <c r="H22" s="88"/>
      <c r="I22" s="89" t="str">
        <f t="shared" si="27"/>
        <v/>
      </c>
      <c r="J22" s="90" t="str">
        <f t="shared" si="28"/>
        <v/>
      </c>
      <c r="K22" s="91" t="str">
        <f t="shared" si="29"/>
        <v/>
      </c>
      <c r="L22" s="92" t="str">
        <f t="shared" si="30"/>
        <v/>
      </c>
      <c r="M22" s="93" t="str">
        <f t="shared" si="31"/>
        <v/>
      </c>
      <c r="N22" s="94" t="str">
        <f t="shared" si="32"/>
        <v/>
      </c>
      <c r="O22" s="94" t="str">
        <f t="shared" si="33"/>
        <v/>
      </c>
      <c r="P22" s="92" t="str">
        <f t="shared" si="34"/>
        <v/>
      </c>
      <c r="Q22" s="95" t="str">
        <f t="shared" si="35"/>
        <v/>
      </c>
      <c r="R22" s="96"/>
    </row>
    <row r="23" spans="1:18" s="111" customFormat="1" ht="16.2" thickBot="1" x14ac:dyDescent="0.35">
      <c r="A23" s="83" t="str">
        <f>IF(TRIM(H23)&lt;&gt;"",COUNTA(H$10:$H22)&amp;"","")</f>
        <v/>
      </c>
      <c r="B23" s="100"/>
      <c r="C23" s="100"/>
      <c r="D23" s="101"/>
      <c r="E23" s="102"/>
      <c r="F23" s="103"/>
      <c r="H23" s="104"/>
      <c r="I23" s="105" t="s">
        <v>12</v>
      </c>
      <c r="J23" s="106"/>
      <c r="K23" s="107">
        <f>SUM(L$8:L$22)</f>
        <v>0</v>
      </c>
      <c r="L23" s="211" t="s">
        <v>13</v>
      </c>
      <c r="M23" s="212"/>
      <c r="N23" s="108">
        <f>SUM(P$8:P$22)</f>
        <v>0</v>
      </c>
      <c r="O23" s="211" t="s">
        <v>42</v>
      </c>
      <c r="P23" s="212"/>
      <c r="Q23" s="109">
        <f>SUM(O$8:O$22)</f>
        <v>0</v>
      </c>
      <c r="R23" s="110">
        <f>SUM(Q$8:Q$22)</f>
        <v>0</v>
      </c>
    </row>
    <row r="24" spans="1:18" s="164" customFormat="1" ht="20.100000000000001" customHeight="1" x14ac:dyDescent="0.3">
      <c r="A24" s="160" t="str">
        <f>IF(TRIM(H24)&lt;&gt;"",COUNTA(H$10:$H24)&amp;"","")</f>
        <v/>
      </c>
      <c r="B24" s="161"/>
      <c r="C24" s="161"/>
      <c r="D24" s="162" t="s">
        <v>55</v>
      </c>
      <c r="E24" s="162" t="s">
        <v>195</v>
      </c>
      <c r="F24" s="163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5"/>
    </row>
    <row r="25" spans="1:18" s="113" customFormat="1" ht="19.2" customHeight="1" x14ac:dyDescent="0.3">
      <c r="A25" s="83" t="str">
        <f>IF(TRIM(H25)&lt;&gt;"",COUNTA(H$9:$H25)&amp;"","")</f>
        <v/>
      </c>
      <c r="B25" s="112"/>
      <c r="C25" s="112"/>
      <c r="D25" s="85" t="s">
        <v>196</v>
      </c>
      <c r="E25" s="157" t="s">
        <v>197</v>
      </c>
      <c r="F25" s="87"/>
      <c r="H25" s="88"/>
      <c r="I25" s="89" t="str">
        <f t="shared" ref="I25:I42" si="36">IF(F25=0,"",0)</f>
        <v/>
      </c>
      <c r="J25" s="90" t="str">
        <f t="shared" ref="J25:J42" si="37">IF(F25=0,"",F25+(F25*I25))</f>
        <v/>
      </c>
      <c r="K25" s="91" t="str">
        <f t="shared" ref="K25:K42" si="38">IF(F25=0,"",0)</f>
        <v/>
      </c>
      <c r="L25" s="92" t="str">
        <f t="shared" ref="L25:L42" si="39">IF(F25=0,"",K25*J25)</f>
        <v/>
      </c>
      <c r="M25" s="93" t="str">
        <f t="shared" ref="M25:M42" si="40">IF(F25=0,"",M$7)</f>
        <v/>
      </c>
      <c r="N25" s="94" t="str">
        <f t="shared" ref="N25:N42" si="41">IF(F25=0,"",0)</f>
        <v/>
      </c>
      <c r="O25" s="94" t="str">
        <f t="shared" ref="O25:O42" si="42">IF(F25=0,"",N25*J25)</f>
        <v/>
      </c>
      <c r="P25" s="92" t="str">
        <f t="shared" ref="P25:P42" si="43">IF(F25=0,"",O25*M25)</f>
        <v/>
      </c>
      <c r="Q25" s="95" t="str">
        <f t="shared" ref="Q25:Q42" si="44">IF(F25=0,"",L25+P25)</f>
        <v/>
      </c>
      <c r="R25" s="96"/>
    </row>
    <row r="26" spans="1:18" x14ac:dyDescent="0.3">
      <c r="A26" s="83" t="str">
        <f>IF(TRIM(H26)&lt;&gt;"",COUNTA(H$9:$H26)&amp;"","")</f>
        <v>14</v>
      </c>
      <c r="B26" s="84" t="s">
        <v>226</v>
      </c>
      <c r="C26" s="84"/>
      <c r="D26" s="85"/>
      <c r="E26" s="97" t="s">
        <v>227</v>
      </c>
      <c r="F26" s="87">
        <v>19</v>
      </c>
      <c r="H26" s="88" t="s">
        <v>147</v>
      </c>
      <c r="I26" s="89">
        <f t="shared" si="36"/>
        <v>0</v>
      </c>
      <c r="J26" s="90">
        <f t="shared" si="37"/>
        <v>19</v>
      </c>
      <c r="K26" s="91">
        <f t="shared" si="38"/>
        <v>0</v>
      </c>
      <c r="L26" s="92">
        <f t="shared" si="39"/>
        <v>0</v>
      </c>
      <c r="M26" s="93">
        <f t="shared" si="40"/>
        <v>0</v>
      </c>
      <c r="N26" s="94">
        <f t="shared" si="41"/>
        <v>0</v>
      </c>
      <c r="O26" s="94">
        <f t="shared" si="42"/>
        <v>0</v>
      </c>
      <c r="P26" s="92">
        <f t="shared" si="43"/>
        <v>0</v>
      </c>
      <c r="Q26" s="95">
        <f t="shared" si="44"/>
        <v>0</v>
      </c>
      <c r="R26" s="96"/>
    </row>
    <row r="27" spans="1:18" x14ac:dyDescent="0.3">
      <c r="A27" s="83" t="str">
        <f>IF(TRIM(H27)&lt;&gt;"",COUNTA(H$9:$H27)&amp;"","")</f>
        <v>15</v>
      </c>
      <c r="B27" s="84" t="s">
        <v>229</v>
      </c>
      <c r="C27" s="84"/>
      <c r="D27" s="85"/>
      <c r="E27" s="97" t="s">
        <v>228</v>
      </c>
      <c r="F27" s="87">
        <v>1270</v>
      </c>
      <c r="H27" s="88" t="s">
        <v>175</v>
      </c>
      <c r="I27" s="89">
        <f t="shared" si="36"/>
        <v>0</v>
      </c>
      <c r="J27" s="90">
        <f t="shared" si="37"/>
        <v>1270</v>
      </c>
      <c r="K27" s="91">
        <f t="shared" si="38"/>
        <v>0</v>
      </c>
      <c r="L27" s="92">
        <f t="shared" si="39"/>
        <v>0</v>
      </c>
      <c r="M27" s="93">
        <f t="shared" si="40"/>
        <v>0</v>
      </c>
      <c r="N27" s="94">
        <f t="shared" si="41"/>
        <v>0</v>
      </c>
      <c r="O27" s="94">
        <f t="shared" si="42"/>
        <v>0</v>
      </c>
      <c r="P27" s="92">
        <f t="shared" si="43"/>
        <v>0</v>
      </c>
      <c r="Q27" s="95">
        <f t="shared" si="44"/>
        <v>0</v>
      </c>
      <c r="R27" s="96"/>
    </row>
    <row r="28" spans="1:18" ht="27.6" x14ac:dyDescent="0.3">
      <c r="A28" s="83" t="str">
        <f>IF(TRIM(H28)&lt;&gt;"",COUNTA(H$9:$H28)&amp;"","")</f>
        <v>16</v>
      </c>
      <c r="B28" s="84" t="s">
        <v>229</v>
      </c>
      <c r="C28" s="84"/>
      <c r="D28" s="85"/>
      <c r="E28" s="97" t="s">
        <v>230</v>
      </c>
      <c r="F28" s="87">
        <v>370</v>
      </c>
      <c r="H28" s="88" t="s">
        <v>147</v>
      </c>
      <c r="I28" s="89">
        <f t="shared" si="36"/>
        <v>0</v>
      </c>
      <c r="J28" s="90">
        <f t="shared" si="37"/>
        <v>370</v>
      </c>
      <c r="K28" s="91">
        <f t="shared" si="38"/>
        <v>0</v>
      </c>
      <c r="L28" s="92">
        <f t="shared" si="39"/>
        <v>0</v>
      </c>
      <c r="M28" s="93">
        <f t="shared" si="40"/>
        <v>0</v>
      </c>
      <c r="N28" s="94">
        <f t="shared" si="41"/>
        <v>0</v>
      </c>
      <c r="O28" s="94">
        <f t="shared" si="42"/>
        <v>0</v>
      </c>
      <c r="P28" s="92">
        <f t="shared" si="43"/>
        <v>0</v>
      </c>
      <c r="Q28" s="95">
        <f t="shared" si="44"/>
        <v>0</v>
      </c>
      <c r="R28" s="96"/>
    </row>
    <row r="29" spans="1:18" x14ac:dyDescent="0.3">
      <c r="A29" s="83" t="str">
        <f>IF(TRIM(H29)&lt;&gt;"",COUNTA(H$9:$H29)&amp;"","")</f>
        <v>17</v>
      </c>
      <c r="B29" s="84" t="s">
        <v>226</v>
      </c>
      <c r="C29" s="84"/>
      <c r="D29" s="85"/>
      <c r="E29" s="97" t="s">
        <v>231</v>
      </c>
      <c r="F29" s="87">
        <v>2</v>
      </c>
      <c r="H29" s="88" t="s">
        <v>232</v>
      </c>
      <c r="I29" s="89">
        <f t="shared" ref="I29:I35" si="45">IF(F29=0,"",0)</f>
        <v>0</v>
      </c>
      <c r="J29" s="90">
        <f t="shared" ref="J29:J35" si="46">IF(F29=0,"",F29+(F29*I29))</f>
        <v>2</v>
      </c>
      <c r="K29" s="91">
        <f t="shared" ref="K29:K35" si="47">IF(F29=0,"",0)</f>
        <v>0</v>
      </c>
      <c r="L29" s="92">
        <f t="shared" ref="L29:L35" si="48">IF(F29=0,"",K29*J29)</f>
        <v>0</v>
      </c>
      <c r="M29" s="93">
        <f t="shared" ref="M29:M35" si="49">IF(F29=0,"",M$7)</f>
        <v>0</v>
      </c>
      <c r="N29" s="94">
        <f t="shared" ref="N29:N35" si="50">IF(F29=0,"",0)</f>
        <v>0</v>
      </c>
      <c r="O29" s="94">
        <f t="shared" ref="O29:O35" si="51">IF(F29=0,"",N29*J29)</f>
        <v>0</v>
      </c>
      <c r="P29" s="92">
        <f t="shared" ref="P29:P35" si="52">IF(F29=0,"",O29*M29)</f>
        <v>0</v>
      </c>
      <c r="Q29" s="95">
        <f t="shared" ref="Q29:Q35" si="53">IF(F29=0,"",L29+P29)</f>
        <v>0</v>
      </c>
      <c r="R29" s="96"/>
    </row>
    <row r="30" spans="1:18" x14ac:dyDescent="0.3">
      <c r="A30" s="83" t="str">
        <f>IF(TRIM(H30)&lt;&gt;"",COUNTA(H$9:$H30)&amp;"","")</f>
        <v>18</v>
      </c>
      <c r="B30" s="84" t="s">
        <v>229</v>
      </c>
      <c r="C30" s="84"/>
      <c r="D30" s="85"/>
      <c r="E30" s="97" t="s">
        <v>233</v>
      </c>
      <c r="F30" s="87">
        <v>245</v>
      </c>
      <c r="H30" s="88" t="s">
        <v>175</v>
      </c>
      <c r="I30" s="89">
        <f t="shared" si="45"/>
        <v>0</v>
      </c>
      <c r="J30" s="90">
        <f t="shared" si="46"/>
        <v>245</v>
      </c>
      <c r="K30" s="91">
        <f t="shared" si="47"/>
        <v>0</v>
      </c>
      <c r="L30" s="92">
        <f t="shared" si="48"/>
        <v>0</v>
      </c>
      <c r="M30" s="93">
        <f t="shared" si="49"/>
        <v>0</v>
      </c>
      <c r="N30" s="94">
        <f t="shared" si="50"/>
        <v>0</v>
      </c>
      <c r="O30" s="94">
        <f t="shared" si="51"/>
        <v>0</v>
      </c>
      <c r="P30" s="92">
        <f t="shared" si="52"/>
        <v>0</v>
      </c>
      <c r="Q30" s="95">
        <f t="shared" si="53"/>
        <v>0</v>
      </c>
      <c r="R30" s="96"/>
    </row>
    <row r="31" spans="1:18" ht="27.6" x14ac:dyDescent="0.3">
      <c r="A31" s="83" t="str">
        <f>IF(TRIM(H31)&lt;&gt;"",COUNTA(H$9:$H31)&amp;"","")</f>
        <v>19</v>
      </c>
      <c r="B31" s="84" t="s">
        <v>229</v>
      </c>
      <c r="C31" s="84"/>
      <c r="D31" s="85"/>
      <c r="E31" s="97" t="s">
        <v>234</v>
      </c>
      <c r="F31" s="87">
        <v>70645</v>
      </c>
      <c r="H31" s="88" t="s">
        <v>147</v>
      </c>
      <c r="I31" s="89">
        <f t="shared" si="45"/>
        <v>0</v>
      </c>
      <c r="J31" s="90">
        <f t="shared" si="46"/>
        <v>70645</v>
      </c>
      <c r="K31" s="91">
        <f t="shared" si="47"/>
        <v>0</v>
      </c>
      <c r="L31" s="92">
        <f t="shared" si="48"/>
        <v>0</v>
      </c>
      <c r="M31" s="93">
        <f t="shared" si="49"/>
        <v>0</v>
      </c>
      <c r="N31" s="94">
        <f t="shared" si="50"/>
        <v>0</v>
      </c>
      <c r="O31" s="94">
        <f t="shared" si="51"/>
        <v>0</v>
      </c>
      <c r="P31" s="92">
        <f t="shared" si="52"/>
        <v>0</v>
      </c>
      <c r="Q31" s="95">
        <f t="shared" si="53"/>
        <v>0</v>
      </c>
      <c r="R31" s="96"/>
    </row>
    <row r="32" spans="1:18" x14ac:dyDescent="0.3">
      <c r="A32" s="83" t="str">
        <f>IF(TRIM(H32)&lt;&gt;"",COUNTA(H$9:$H32)&amp;"","")</f>
        <v>20</v>
      </c>
      <c r="B32" s="84" t="s">
        <v>226</v>
      </c>
      <c r="C32" s="84"/>
      <c r="D32" s="85"/>
      <c r="E32" s="97" t="s">
        <v>235</v>
      </c>
      <c r="F32" s="87">
        <v>20730</v>
      </c>
      <c r="H32" s="88" t="s">
        <v>147</v>
      </c>
      <c r="I32" s="89">
        <f t="shared" si="45"/>
        <v>0</v>
      </c>
      <c r="J32" s="90">
        <f t="shared" si="46"/>
        <v>20730</v>
      </c>
      <c r="K32" s="91">
        <f t="shared" si="47"/>
        <v>0</v>
      </c>
      <c r="L32" s="92">
        <f t="shared" si="48"/>
        <v>0</v>
      </c>
      <c r="M32" s="93">
        <f t="shared" si="49"/>
        <v>0</v>
      </c>
      <c r="N32" s="94">
        <f t="shared" si="50"/>
        <v>0</v>
      </c>
      <c r="O32" s="94">
        <f t="shared" si="51"/>
        <v>0</v>
      </c>
      <c r="P32" s="92">
        <f t="shared" si="52"/>
        <v>0</v>
      </c>
      <c r="Q32" s="95">
        <f t="shared" si="53"/>
        <v>0</v>
      </c>
      <c r="R32" s="96"/>
    </row>
    <row r="33" spans="1:18" x14ac:dyDescent="0.3">
      <c r="A33" s="83" t="str">
        <f>IF(TRIM(H33)&lt;&gt;"",COUNTA(H$9:$H33)&amp;"","")</f>
        <v>21</v>
      </c>
      <c r="B33" s="84" t="s">
        <v>237</v>
      </c>
      <c r="C33" s="84"/>
      <c r="D33" s="85"/>
      <c r="E33" s="97" t="s">
        <v>236</v>
      </c>
      <c r="F33" s="87">
        <v>13</v>
      </c>
      <c r="H33" s="88" t="s">
        <v>175</v>
      </c>
      <c r="I33" s="89">
        <f t="shared" si="45"/>
        <v>0</v>
      </c>
      <c r="J33" s="90">
        <f t="shared" si="46"/>
        <v>13</v>
      </c>
      <c r="K33" s="91">
        <f t="shared" si="47"/>
        <v>0</v>
      </c>
      <c r="L33" s="92">
        <f t="shared" si="48"/>
        <v>0</v>
      </c>
      <c r="M33" s="93">
        <f t="shared" si="49"/>
        <v>0</v>
      </c>
      <c r="N33" s="94">
        <f t="shared" si="50"/>
        <v>0</v>
      </c>
      <c r="O33" s="94">
        <f t="shared" si="51"/>
        <v>0</v>
      </c>
      <c r="P33" s="92">
        <f t="shared" si="52"/>
        <v>0</v>
      </c>
      <c r="Q33" s="95">
        <f t="shared" si="53"/>
        <v>0</v>
      </c>
      <c r="R33" s="96"/>
    </row>
    <row r="34" spans="1:18" ht="27.6" x14ac:dyDescent="0.3">
      <c r="A34" s="83" t="str">
        <f>IF(TRIM(H34)&lt;&gt;"",COUNTA(H$9:$H34)&amp;"","")</f>
        <v>22</v>
      </c>
      <c r="B34" s="84" t="s">
        <v>237</v>
      </c>
      <c r="C34" s="84"/>
      <c r="D34" s="85"/>
      <c r="E34" s="97" t="s">
        <v>238</v>
      </c>
      <c r="F34" s="87">
        <v>120</v>
      </c>
      <c r="H34" s="88" t="s">
        <v>147</v>
      </c>
      <c r="I34" s="89">
        <f t="shared" si="45"/>
        <v>0</v>
      </c>
      <c r="J34" s="90">
        <f t="shared" si="46"/>
        <v>120</v>
      </c>
      <c r="K34" s="91">
        <f t="shared" si="47"/>
        <v>0</v>
      </c>
      <c r="L34" s="92">
        <f t="shared" si="48"/>
        <v>0</v>
      </c>
      <c r="M34" s="93">
        <f t="shared" si="49"/>
        <v>0</v>
      </c>
      <c r="N34" s="94">
        <f t="shared" si="50"/>
        <v>0</v>
      </c>
      <c r="O34" s="94">
        <f t="shared" si="51"/>
        <v>0</v>
      </c>
      <c r="P34" s="92">
        <f t="shared" si="52"/>
        <v>0</v>
      </c>
      <c r="Q34" s="95">
        <f t="shared" si="53"/>
        <v>0</v>
      </c>
      <c r="R34" s="96"/>
    </row>
    <row r="35" spans="1:18" x14ac:dyDescent="0.3">
      <c r="A35" s="83" t="str">
        <f>IF(TRIM(H35)&lt;&gt;"",COUNTA(H$9:$H35)&amp;"","")</f>
        <v>23</v>
      </c>
      <c r="B35" s="84" t="s">
        <v>266</v>
      </c>
      <c r="C35" s="84" t="s">
        <v>267</v>
      </c>
      <c r="D35" s="85"/>
      <c r="E35" s="97" t="s">
        <v>268</v>
      </c>
      <c r="F35" s="87">
        <v>5</v>
      </c>
      <c r="H35" s="88" t="s">
        <v>232</v>
      </c>
      <c r="I35" s="89">
        <f t="shared" si="45"/>
        <v>0</v>
      </c>
      <c r="J35" s="90">
        <f t="shared" si="46"/>
        <v>5</v>
      </c>
      <c r="K35" s="91">
        <f t="shared" si="47"/>
        <v>0</v>
      </c>
      <c r="L35" s="92">
        <f t="shared" si="48"/>
        <v>0</v>
      </c>
      <c r="M35" s="93">
        <f t="shared" si="49"/>
        <v>0</v>
      </c>
      <c r="N35" s="94">
        <f t="shared" si="50"/>
        <v>0</v>
      </c>
      <c r="O35" s="94">
        <f t="shared" si="51"/>
        <v>0</v>
      </c>
      <c r="P35" s="92">
        <f t="shared" si="52"/>
        <v>0</v>
      </c>
      <c r="Q35" s="95">
        <f t="shared" si="53"/>
        <v>0</v>
      </c>
      <c r="R35" s="96"/>
    </row>
    <row r="36" spans="1:18" s="113" customFormat="1" ht="19.2" customHeight="1" x14ac:dyDescent="0.3">
      <c r="A36" s="83" t="str">
        <f>IF(TRIM(H36)&lt;&gt;"",COUNTA(H$9:$H36)&amp;"","")</f>
        <v/>
      </c>
      <c r="B36" s="112"/>
      <c r="C36" s="112"/>
      <c r="D36" s="85" t="s">
        <v>198</v>
      </c>
      <c r="E36" s="157" t="s">
        <v>66</v>
      </c>
      <c r="F36" s="87"/>
      <c r="H36" s="88"/>
      <c r="I36" s="89" t="str">
        <f t="shared" si="36"/>
        <v/>
      </c>
      <c r="J36" s="90" t="str">
        <f t="shared" si="37"/>
        <v/>
      </c>
      <c r="K36" s="91" t="str">
        <f t="shared" si="38"/>
        <v/>
      </c>
      <c r="L36" s="92" t="str">
        <f t="shared" si="39"/>
        <v/>
      </c>
      <c r="M36" s="93" t="str">
        <f t="shared" si="40"/>
        <v/>
      </c>
      <c r="N36" s="94" t="str">
        <f t="shared" si="41"/>
        <v/>
      </c>
      <c r="O36" s="94" t="str">
        <f t="shared" si="42"/>
        <v/>
      </c>
      <c r="P36" s="92" t="str">
        <f t="shared" si="43"/>
        <v/>
      </c>
      <c r="Q36" s="95" t="str">
        <f t="shared" si="44"/>
        <v/>
      </c>
      <c r="R36" s="96"/>
    </row>
    <row r="37" spans="1:18" x14ac:dyDescent="0.3">
      <c r="A37" s="83" t="str">
        <f>IF(TRIM(H37)&lt;&gt;"",COUNTA(H$9:$H37)&amp;"","")</f>
        <v>24</v>
      </c>
      <c r="B37" s="84" t="s">
        <v>284</v>
      </c>
      <c r="C37" s="84"/>
      <c r="D37" s="85"/>
      <c r="E37" s="97" t="s">
        <v>283</v>
      </c>
      <c r="F37" s="87">
        <v>13485</v>
      </c>
      <c r="H37" s="88" t="s">
        <v>147</v>
      </c>
      <c r="I37" s="89">
        <f t="shared" si="36"/>
        <v>0</v>
      </c>
      <c r="J37" s="90">
        <f t="shared" si="37"/>
        <v>13485</v>
      </c>
      <c r="K37" s="91">
        <f t="shared" si="38"/>
        <v>0</v>
      </c>
      <c r="L37" s="92">
        <f t="shared" si="39"/>
        <v>0</v>
      </c>
      <c r="M37" s="93">
        <f t="shared" si="40"/>
        <v>0</v>
      </c>
      <c r="N37" s="94">
        <f t="shared" si="41"/>
        <v>0</v>
      </c>
      <c r="O37" s="94">
        <f t="shared" si="42"/>
        <v>0</v>
      </c>
      <c r="P37" s="92">
        <f t="shared" si="43"/>
        <v>0</v>
      </c>
      <c r="Q37" s="95">
        <f t="shared" si="44"/>
        <v>0</v>
      </c>
      <c r="R37" s="96"/>
    </row>
    <row r="38" spans="1:18" x14ac:dyDescent="0.3">
      <c r="A38" s="83" t="str">
        <f>IF(TRIM(H38)&lt;&gt;"",COUNTA(H$9:$H38)&amp;"","")</f>
        <v>25</v>
      </c>
      <c r="B38" s="84" t="s">
        <v>289</v>
      </c>
      <c r="C38" s="84"/>
      <c r="D38" s="85"/>
      <c r="E38" s="97" t="s">
        <v>288</v>
      </c>
      <c r="F38" s="87">
        <v>47</v>
      </c>
      <c r="H38" s="88" t="s">
        <v>232</v>
      </c>
      <c r="I38" s="89">
        <f t="shared" si="36"/>
        <v>0</v>
      </c>
      <c r="J38" s="90">
        <f t="shared" si="37"/>
        <v>47</v>
      </c>
      <c r="K38" s="91">
        <f t="shared" si="38"/>
        <v>0</v>
      </c>
      <c r="L38" s="92">
        <f t="shared" si="39"/>
        <v>0</v>
      </c>
      <c r="M38" s="93">
        <f t="shared" si="40"/>
        <v>0</v>
      </c>
      <c r="N38" s="94">
        <f t="shared" si="41"/>
        <v>0</v>
      </c>
      <c r="O38" s="94">
        <f t="shared" si="42"/>
        <v>0</v>
      </c>
      <c r="P38" s="92">
        <f t="shared" si="43"/>
        <v>0</v>
      </c>
      <c r="Q38" s="95">
        <f t="shared" si="44"/>
        <v>0</v>
      </c>
      <c r="R38" s="96"/>
    </row>
    <row r="39" spans="1:18" x14ac:dyDescent="0.3">
      <c r="A39" s="83" t="str">
        <f>IF(TRIM(H39)&lt;&gt;"",COUNTA(H$9:$H39)&amp;"","")</f>
        <v>26</v>
      </c>
      <c r="B39" s="84" t="s">
        <v>291</v>
      </c>
      <c r="C39" s="84"/>
      <c r="D39" s="85"/>
      <c r="E39" s="97" t="s">
        <v>290</v>
      </c>
      <c r="F39" s="87">
        <v>2</v>
      </c>
      <c r="H39" s="88" t="s">
        <v>232</v>
      </c>
      <c r="I39" s="89">
        <f t="shared" si="36"/>
        <v>0</v>
      </c>
      <c r="J39" s="90">
        <f t="shared" si="37"/>
        <v>2</v>
      </c>
      <c r="K39" s="91">
        <f t="shared" si="38"/>
        <v>0</v>
      </c>
      <c r="L39" s="92">
        <f t="shared" si="39"/>
        <v>0</v>
      </c>
      <c r="M39" s="93">
        <f t="shared" si="40"/>
        <v>0</v>
      </c>
      <c r="N39" s="94">
        <f t="shared" si="41"/>
        <v>0</v>
      </c>
      <c r="O39" s="94">
        <f t="shared" si="42"/>
        <v>0</v>
      </c>
      <c r="P39" s="92">
        <f t="shared" si="43"/>
        <v>0</v>
      </c>
      <c r="Q39" s="95">
        <f t="shared" si="44"/>
        <v>0</v>
      </c>
      <c r="R39" s="96"/>
    </row>
    <row r="40" spans="1:18" ht="27.6" x14ac:dyDescent="0.3">
      <c r="A40" s="83" t="str">
        <f>IF(TRIM(H40)&lt;&gt;"",COUNTA(H$9:$H40)&amp;"","")</f>
        <v>27</v>
      </c>
      <c r="B40" s="84" t="s">
        <v>293</v>
      </c>
      <c r="C40" s="84"/>
      <c r="D40" s="85"/>
      <c r="E40" s="97" t="s">
        <v>292</v>
      </c>
      <c r="F40" s="87">
        <v>2</v>
      </c>
      <c r="H40" s="88" t="s">
        <v>232</v>
      </c>
      <c r="I40" s="89">
        <f t="shared" si="36"/>
        <v>0</v>
      </c>
      <c r="J40" s="90">
        <f t="shared" si="37"/>
        <v>2</v>
      </c>
      <c r="K40" s="91">
        <f t="shared" si="38"/>
        <v>0</v>
      </c>
      <c r="L40" s="92">
        <f t="shared" si="39"/>
        <v>0</v>
      </c>
      <c r="M40" s="93">
        <f t="shared" si="40"/>
        <v>0</v>
      </c>
      <c r="N40" s="94">
        <f t="shared" si="41"/>
        <v>0</v>
      </c>
      <c r="O40" s="94">
        <f t="shared" si="42"/>
        <v>0</v>
      </c>
      <c r="P40" s="92">
        <f t="shared" si="43"/>
        <v>0</v>
      </c>
      <c r="Q40" s="95">
        <f t="shared" si="44"/>
        <v>0</v>
      </c>
      <c r="R40" s="96"/>
    </row>
    <row r="41" spans="1:18" x14ac:dyDescent="0.3">
      <c r="A41" s="83" t="str">
        <f>IF(TRIM(H41)&lt;&gt;"",COUNTA(H$9:$H41)&amp;"","")</f>
        <v>28</v>
      </c>
      <c r="B41" s="84" t="s">
        <v>295</v>
      </c>
      <c r="C41" s="84"/>
      <c r="D41" s="85"/>
      <c r="E41" s="97" t="s">
        <v>294</v>
      </c>
      <c r="F41" s="87">
        <v>2</v>
      </c>
      <c r="H41" s="88" t="s">
        <v>232</v>
      </c>
      <c r="I41" s="89">
        <f t="shared" si="36"/>
        <v>0</v>
      </c>
      <c r="J41" s="90">
        <f t="shared" si="37"/>
        <v>2</v>
      </c>
      <c r="K41" s="91">
        <f t="shared" si="38"/>
        <v>0</v>
      </c>
      <c r="L41" s="92">
        <f t="shared" si="39"/>
        <v>0</v>
      </c>
      <c r="M41" s="93">
        <f t="shared" si="40"/>
        <v>0</v>
      </c>
      <c r="N41" s="94">
        <f t="shared" si="41"/>
        <v>0</v>
      </c>
      <c r="O41" s="94">
        <f t="shared" si="42"/>
        <v>0</v>
      </c>
      <c r="P41" s="92">
        <f t="shared" si="43"/>
        <v>0</v>
      </c>
      <c r="Q41" s="95">
        <f t="shared" si="44"/>
        <v>0</v>
      </c>
      <c r="R41" s="96"/>
    </row>
    <row r="42" spans="1:18" x14ac:dyDescent="0.3">
      <c r="A42" s="83" t="str">
        <f>IF(TRIM(H42)&lt;&gt;"",COUNTA(H$9:$H42)&amp;"","")</f>
        <v>29</v>
      </c>
      <c r="B42" s="84" t="s">
        <v>297</v>
      </c>
      <c r="C42" s="84"/>
      <c r="D42" s="85"/>
      <c r="E42" s="97" t="s">
        <v>296</v>
      </c>
      <c r="F42" s="87">
        <v>1700</v>
      </c>
      <c r="G42" s="64">
        <f>29*8+12*122</f>
        <v>1696</v>
      </c>
      <c r="H42" s="88" t="s">
        <v>147</v>
      </c>
      <c r="I42" s="89">
        <f t="shared" si="36"/>
        <v>0</v>
      </c>
      <c r="J42" s="90">
        <f t="shared" si="37"/>
        <v>1700</v>
      </c>
      <c r="K42" s="91">
        <f t="shared" si="38"/>
        <v>0</v>
      </c>
      <c r="L42" s="92">
        <f t="shared" si="39"/>
        <v>0</v>
      </c>
      <c r="M42" s="93">
        <f t="shared" si="40"/>
        <v>0</v>
      </c>
      <c r="N42" s="94">
        <f t="shared" si="41"/>
        <v>0</v>
      </c>
      <c r="O42" s="94">
        <f t="shared" si="42"/>
        <v>0</v>
      </c>
      <c r="P42" s="92">
        <f t="shared" si="43"/>
        <v>0</v>
      </c>
      <c r="Q42" s="95">
        <f t="shared" si="44"/>
        <v>0</v>
      </c>
      <c r="R42" s="96"/>
    </row>
    <row r="43" spans="1:18" x14ac:dyDescent="0.3">
      <c r="A43" s="83" t="str">
        <f>IF(TRIM(H43)&lt;&gt;"",COUNTA(H$9:$H43)&amp;"","")</f>
        <v>30</v>
      </c>
      <c r="B43" s="84" t="s">
        <v>297</v>
      </c>
      <c r="C43" s="84"/>
      <c r="D43" s="85"/>
      <c r="E43" s="97" t="s">
        <v>298</v>
      </c>
      <c r="F43" s="87">
        <v>660</v>
      </c>
      <c r="G43" s="64">
        <f>27*8+30+122+24*12</f>
        <v>656</v>
      </c>
      <c r="H43" s="88" t="s">
        <v>175</v>
      </c>
      <c r="I43" s="89">
        <f t="shared" ref="I43:I77" si="54">IF(F43=0,"",0)</f>
        <v>0</v>
      </c>
      <c r="J43" s="90">
        <f t="shared" ref="J43:J77" si="55">IF(F43=0,"",F43+(F43*I43))</f>
        <v>660</v>
      </c>
      <c r="K43" s="91">
        <f t="shared" ref="K43:K77" si="56">IF(F43=0,"",0)</f>
        <v>0</v>
      </c>
      <c r="L43" s="92">
        <f t="shared" ref="L43:L77" si="57">IF(F43=0,"",K43*J43)</f>
        <v>0</v>
      </c>
      <c r="M43" s="93">
        <f t="shared" ref="M43:M77" si="58">IF(F43=0,"",M$7)</f>
        <v>0</v>
      </c>
      <c r="N43" s="94">
        <f t="shared" ref="N43:N77" si="59">IF(F43=0,"",0)</f>
        <v>0</v>
      </c>
      <c r="O43" s="94">
        <f t="shared" ref="O43:O77" si="60">IF(F43=0,"",N43*J43)</f>
        <v>0</v>
      </c>
      <c r="P43" s="92">
        <f t="shared" ref="P43:P77" si="61">IF(F43=0,"",O43*M43)</f>
        <v>0</v>
      </c>
      <c r="Q43" s="95">
        <f t="shared" ref="Q43:Q77" si="62">IF(F43=0,"",L43+P43)</f>
        <v>0</v>
      </c>
      <c r="R43" s="96"/>
    </row>
    <row r="44" spans="1:18" x14ac:dyDescent="0.3">
      <c r="A44" s="83" t="str">
        <f>IF(TRIM(H44)&lt;&gt;"",COUNTA(H$9:$H44)&amp;"","")</f>
        <v>31</v>
      </c>
      <c r="B44" s="84" t="s">
        <v>293</v>
      </c>
      <c r="C44" s="84" t="s">
        <v>300</v>
      </c>
      <c r="D44" s="85"/>
      <c r="E44" s="97" t="s">
        <v>299</v>
      </c>
      <c r="F44" s="87">
        <v>72</v>
      </c>
      <c r="G44" s="64">
        <f>8*9</f>
        <v>72</v>
      </c>
      <c r="H44" s="88" t="s">
        <v>147</v>
      </c>
      <c r="I44" s="89">
        <f t="shared" si="54"/>
        <v>0</v>
      </c>
      <c r="J44" s="90">
        <f t="shared" si="55"/>
        <v>72</v>
      </c>
      <c r="K44" s="91">
        <f t="shared" si="56"/>
        <v>0</v>
      </c>
      <c r="L44" s="92">
        <f t="shared" si="57"/>
        <v>0</v>
      </c>
      <c r="M44" s="93">
        <f t="shared" si="58"/>
        <v>0</v>
      </c>
      <c r="N44" s="94">
        <f t="shared" si="59"/>
        <v>0</v>
      </c>
      <c r="O44" s="94">
        <f t="shared" si="60"/>
        <v>0</v>
      </c>
      <c r="P44" s="92">
        <f t="shared" si="61"/>
        <v>0</v>
      </c>
      <c r="Q44" s="95">
        <f t="shared" si="62"/>
        <v>0</v>
      </c>
      <c r="R44" s="96"/>
    </row>
    <row r="45" spans="1:18" x14ac:dyDescent="0.3">
      <c r="A45" s="83" t="str">
        <f>IF(TRIM(H45)&lt;&gt;"",COUNTA(H$9:$H45)&amp;"","")</f>
        <v>32</v>
      </c>
      <c r="B45" s="84" t="s">
        <v>286</v>
      </c>
      <c r="C45" s="84" t="s">
        <v>302</v>
      </c>
      <c r="D45" s="85"/>
      <c r="E45" s="97" t="s">
        <v>301</v>
      </c>
      <c r="F45" s="87">
        <v>1</v>
      </c>
      <c r="H45" s="88" t="s">
        <v>232</v>
      </c>
      <c r="I45" s="89">
        <f t="shared" si="54"/>
        <v>0</v>
      </c>
      <c r="J45" s="90">
        <f t="shared" si="55"/>
        <v>1</v>
      </c>
      <c r="K45" s="91">
        <f t="shared" si="56"/>
        <v>0</v>
      </c>
      <c r="L45" s="92">
        <f t="shared" si="57"/>
        <v>0</v>
      </c>
      <c r="M45" s="93">
        <f t="shared" si="58"/>
        <v>0</v>
      </c>
      <c r="N45" s="94">
        <f t="shared" si="59"/>
        <v>0</v>
      </c>
      <c r="O45" s="94">
        <f t="shared" si="60"/>
        <v>0</v>
      </c>
      <c r="P45" s="92">
        <f t="shared" si="61"/>
        <v>0</v>
      </c>
      <c r="Q45" s="95">
        <f t="shared" si="62"/>
        <v>0</v>
      </c>
      <c r="R45" s="96"/>
    </row>
    <row r="46" spans="1:18" x14ac:dyDescent="0.3">
      <c r="A46" s="83" t="str">
        <f>IF(TRIM(H46)&lt;&gt;"",COUNTA(H$9:$H46)&amp;"","")</f>
        <v>33</v>
      </c>
      <c r="B46" s="84" t="s">
        <v>308</v>
      </c>
      <c r="C46" s="84"/>
      <c r="D46" s="85"/>
      <c r="E46" s="97" t="s">
        <v>307</v>
      </c>
      <c r="F46" s="87">
        <v>10155</v>
      </c>
      <c r="H46" s="88" t="s">
        <v>147</v>
      </c>
      <c r="I46" s="89">
        <f t="shared" si="54"/>
        <v>0</v>
      </c>
      <c r="J46" s="90">
        <f t="shared" si="55"/>
        <v>10155</v>
      </c>
      <c r="K46" s="91">
        <f t="shared" si="56"/>
        <v>0</v>
      </c>
      <c r="L46" s="92">
        <f t="shared" si="57"/>
        <v>0</v>
      </c>
      <c r="M46" s="93">
        <f t="shared" si="58"/>
        <v>0</v>
      </c>
      <c r="N46" s="94">
        <f t="shared" si="59"/>
        <v>0</v>
      </c>
      <c r="O46" s="94">
        <f t="shared" si="60"/>
        <v>0</v>
      </c>
      <c r="P46" s="92">
        <f t="shared" si="61"/>
        <v>0</v>
      </c>
      <c r="Q46" s="95">
        <f t="shared" si="62"/>
        <v>0</v>
      </c>
      <c r="R46" s="96"/>
    </row>
    <row r="47" spans="1:18" x14ac:dyDescent="0.3">
      <c r="A47" s="83" t="str">
        <f>IF(TRIM(H47)&lt;&gt;"",COUNTA(H$9:$H47)&amp;"","")</f>
        <v>34</v>
      </c>
      <c r="B47" s="84" t="s">
        <v>310</v>
      </c>
      <c r="C47" s="84"/>
      <c r="D47" s="85"/>
      <c r="E47" s="97" t="s">
        <v>309</v>
      </c>
      <c r="F47" s="87">
        <v>4850</v>
      </c>
      <c r="H47" s="88" t="s">
        <v>147</v>
      </c>
      <c r="I47" s="89">
        <f t="shared" si="54"/>
        <v>0</v>
      </c>
      <c r="J47" s="90">
        <f t="shared" si="55"/>
        <v>4850</v>
      </c>
      <c r="K47" s="91">
        <f t="shared" si="56"/>
        <v>0</v>
      </c>
      <c r="L47" s="92">
        <f t="shared" si="57"/>
        <v>0</v>
      </c>
      <c r="M47" s="93">
        <f t="shared" si="58"/>
        <v>0</v>
      </c>
      <c r="N47" s="94">
        <f t="shared" si="59"/>
        <v>0</v>
      </c>
      <c r="O47" s="94">
        <f t="shared" si="60"/>
        <v>0</v>
      </c>
      <c r="P47" s="92">
        <f t="shared" si="61"/>
        <v>0</v>
      </c>
      <c r="Q47" s="95">
        <f t="shared" si="62"/>
        <v>0</v>
      </c>
      <c r="R47" s="96"/>
    </row>
    <row r="48" spans="1:18" x14ac:dyDescent="0.3">
      <c r="A48" s="83" t="str">
        <f>IF(TRIM(H48)&lt;&gt;"",COUNTA(H$9:$H48)&amp;"","")</f>
        <v>35</v>
      </c>
      <c r="B48" s="84" t="s">
        <v>312</v>
      </c>
      <c r="C48" s="84"/>
      <c r="D48" s="85"/>
      <c r="E48" s="97" t="s">
        <v>311</v>
      </c>
      <c r="F48" s="87">
        <v>1030</v>
      </c>
      <c r="H48" s="88" t="s">
        <v>147</v>
      </c>
      <c r="I48" s="89">
        <f t="shared" si="54"/>
        <v>0</v>
      </c>
      <c r="J48" s="90">
        <f t="shared" si="55"/>
        <v>1030</v>
      </c>
      <c r="K48" s="91">
        <f t="shared" si="56"/>
        <v>0</v>
      </c>
      <c r="L48" s="92">
        <f t="shared" si="57"/>
        <v>0</v>
      </c>
      <c r="M48" s="93">
        <f t="shared" si="58"/>
        <v>0</v>
      </c>
      <c r="N48" s="94">
        <f t="shared" si="59"/>
        <v>0</v>
      </c>
      <c r="O48" s="94">
        <f t="shared" si="60"/>
        <v>0</v>
      </c>
      <c r="P48" s="92">
        <f t="shared" si="61"/>
        <v>0</v>
      </c>
      <c r="Q48" s="95">
        <f t="shared" si="62"/>
        <v>0</v>
      </c>
      <c r="R48" s="96"/>
    </row>
    <row r="49" spans="1:18" x14ac:dyDescent="0.3">
      <c r="A49" s="83" t="str">
        <f>IF(TRIM(H49)&lt;&gt;"",COUNTA(H$9:$H49)&amp;"","")</f>
        <v>36</v>
      </c>
      <c r="B49" s="84" t="s">
        <v>337</v>
      </c>
      <c r="C49" s="84"/>
      <c r="D49" s="85"/>
      <c r="E49" s="97" t="s">
        <v>313</v>
      </c>
      <c r="F49" s="87">
        <v>6135</v>
      </c>
      <c r="G49" s="64">
        <f>12.5*273+244*10+9.083*31</f>
        <v>6134.0730000000003</v>
      </c>
      <c r="H49" s="88" t="s">
        <v>147</v>
      </c>
      <c r="I49" s="89">
        <f t="shared" si="54"/>
        <v>0</v>
      </c>
      <c r="J49" s="90">
        <f t="shared" si="55"/>
        <v>6135</v>
      </c>
      <c r="K49" s="91">
        <f t="shared" si="56"/>
        <v>0</v>
      </c>
      <c r="L49" s="92">
        <f t="shared" si="57"/>
        <v>0</v>
      </c>
      <c r="M49" s="93">
        <f t="shared" si="58"/>
        <v>0</v>
      </c>
      <c r="N49" s="94">
        <f t="shared" si="59"/>
        <v>0</v>
      </c>
      <c r="O49" s="94">
        <f t="shared" si="60"/>
        <v>0</v>
      </c>
      <c r="P49" s="92">
        <f t="shared" si="61"/>
        <v>0</v>
      </c>
      <c r="Q49" s="95">
        <f t="shared" si="62"/>
        <v>0</v>
      </c>
      <c r="R49" s="96"/>
    </row>
    <row r="50" spans="1:18" x14ac:dyDescent="0.3">
      <c r="A50" s="83" t="str">
        <f>IF(TRIM(H50)&lt;&gt;"",COUNTA(H$9:$H50)&amp;"","")</f>
        <v>37</v>
      </c>
      <c r="B50" s="84" t="s">
        <v>315</v>
      </c>
      <c r="C50" s="84"/>
      <c r="D50" s="85"/>
      <c r="E50" s="97" t="s">
        <v>314</v>
      </c>
      <c r="F50" s="87">
        <v>3</v>
      </c>
      <c r="H50" s="88" t="s">
        <v>232</v>
      </c>
      <c r="I50" s="89">
        <f t="shared" si="54"/>
        <v>0</v>
      </c>
      <c r="J50" s="90">
        <f t="shared" si="55"/>
        <v>3</v>
      </c>
      <c r="K50" s="91">
        <f t="shared" si="56"/>
        <v>0</v>
      </c>
      <c r="L50" s="92">
        <f t="shared" si="57"/>
        <v>0</v>
      </c>
      <c r="M50" s="93">
        <f t="shared" si="58"/>
        <v>0</v>
      </c>
      <c r="N50" s="94">
        <f t="shared" si="59"/>
        <v>0</v>
      </c>
      <c r="O50" s="94">
        <f t="shared" si="60"/>
        <v>0</v>
      </c>
      <c r="P50" s="92">
        <f t="shared" si="61"/>
        <v>0</v>
      </c>
      <c r="Q50" s="95">
        <f t="shared" si="62"/>
        <v>0</v>
      </c>
      <c r="R50" s="96"/>
    </row>
    <row r="51" spans="1:18" x14ac:dyDescent="0.3">
      <c r="A51" s="83" t="str">
        <f>IF(TRIM(H51)&lt;&gt;"",COUNTA(H$9:$H51)&amp;"","")</f>
        <v>38</v>
      </c>
      <c r="B51" s="84" t="s">
        <v>317</v>
      </c>
      <c r="C51" s="84"/>
      <c r="D51" s="85"/>
      <c r="E51" s="97" t="s">
        <v>316</v>
      </c>
      <c r="F51" s="87">
        <v>61</v>
      </c>
      <c r="H51" s="88" t="s">
        <v>175</v>
      </c>
      <c r="I51" s="89">
        <f t="shared" si="54"/>
        <v>0</v>
      </c>
      <c r="J51" s="90">
        <f t="shared" si="55"/>
        <v>61</v>
      </c>
      <c r="K51" s="91">
        <f t="shared" si="56"/>
        <v>0</v>
      </c>
      <c r="L51" s="92">
        <f t="shared" si="57"/>
        <v>0</v>
      </c>
      <c r="M51" s="93">
        <f t="shared" si="58"/>
        <v>0</v>
      </c>
      <c r="N51" s="94">
        <f t="shared" si="59"/>
        <v>0</v>
      </c>
      <c r="O51" s="94">
        <f t="shared" si="60"/>
        <v>0</v>
      </c>
      <c r="P51" s="92">
        <f t="shared" si="61"/>
        <v>0</v>
      </c>
      <c r="Q51" s="95">
        <f t="shared" si="62"/>
        <v>0</v>
      </c>
      <c r="R51" s="96"/>
    </row>
    <row r="52" spans="1:18" x14ac:dyDescent="0.3">
      <c r="A52" s="83" t="str">
        <f>IF(TRIM(H52)&lt;&gt;"",COUNTA(H$9:$H52)&amp;"","")</f>
        <v>39</v>
      </c>
      <c r="B52" s="84" t="s">
        <v>312</v>
      </c>
      <c r="C52" s="84"/>
      <c r="D52" s="85"/>
      <c r="E52" s="97" t="s">
        <v>318</v>
      </c>
      <c r="F52" s="87">
        <v>52</v>
      </c>
      <c r="H52" s="88" t="s">
        <v>175</v>
      </c>
      <c r="I52" s="89">
        <f t="shared" si="54"/>
        <v>0</v>
      </c>
      <c r="J52" s="90">
        <f t="shared" si="55"/>
        <v>52</v>
      </c>
      <c r="K52" s="91">
        <f t="shared" si="56"/>
        <v>0</v>
      </c>
      <c r="L52" s="92">
        <f t="shared" si="57"/>
        <v>0</v>
      </c>
      <c r="M52" s="93">
        <f t="shared" si="58"/>
        <v>0</v>
      </c>
      <c r="N52" s="94">
        <f t="shared" si="59"/>
        <v>0</v>
      </c>
      <c r="O52" s="94">
        <f t="shared" si="60"/>
        <v>0</v>
      </c>
      <c r="P52" s="92">
        <f t="shared" si="61"/>
        <v>0</v>
      </c>
      <c r="Q52" s="95">
        <f t="shared" si="62"/>
        <v>0</v>
      </c>
      <c r="R52" s="96"/>
    </row>
    <row r="53" spans="1:18" x14ac:dyDescent="0.3">
      <c r="A53" s="83" t="str">
        <f>IF(TRIM(H53)&lt;&gt;"",COUNTA(H$9:$H53)&amp;"","")</f>
        <v>40</v>
      </c>
      <c r="B53" s="84" t="s">
        <v>312</v>
      </c>
      <c r="C53" s="84"/>
      <c r="D53" s="85"/>
      <c r="E53" s="97" t="s">
        <v>319</v>
      </c>
      <c r="F53" s="87">
        <v>26</v>
      </c>
      <c r="H53" s="88" t="s">
        <v>147</v>
      </c>
      <c r="I53" s="89">
        <f t="shared" si="54"/>
        <v>0</v>
      </c>
      <c r="J53" s="90">
        <f t="shared" si="55"/>
        <v>26</v>
      </c>
      <c r="K53" s="91">
        <f t="shared" si="56"/>
        <v>0</v>
      </c>
      <c r="L53" s="92">
        <f t="shared" si="57"/>
        <v>0</v>
      </c>
      <c r="M53" s="93">
        <f t="shared" si="58"/>
        <v>0</v>
      </c>
      <c r="N53" s="94">
        <f t="shared" si="59"/>
        <v>0</v>
      </c>
      <c r="O53" s="94">
        <f t="shared" si="60"/>
        <v>0</v>
      </c>
      <c r="P53" s="92">
        <f t="shared" si="61"/>
        <v>0</v>
      </c>
      <c r="Q53" s="95">
        <f t="shared" si="62"/>
        <v>0</v>
      </c>
      <c r="R53" s="96"/>
    </row>
    <row r="54" spans="1:18" x14ac:dyDescent="0.3">
      <c r="A54" s="83" t="str">
        <f>IF(TRIM(H54)&lt;&gt;"",COUNTA(H$9:$H54)&amp;"","")</f>
        <v>41</v>
      </c>
      <c r="B54" s="84" t="s">
        <v>312</v>
      </c>
      <c r="C54" s="84"/>
      <c r="D54" s="85"/>
      <c r="E54" s="97" t="s">
        <v>320</v>
      </c>
      <c r="F54" s="87">
        <v>4</v>
      </c>
      <c r="H54" s="88" t="s">
        <v>175</v>
      </c>
      <c r="I54" s="89">
        <f t="shared" si="54"/>
        <v>0</v>
      </c>
      <c r="J54" s="90">
        <f t="shared" si="55"/>
        <v>4</v>
      </c>
      <c r="K54" s="91">
        <f t="shared" si="56"/>
        <v>0</v>
      </c>
      <c r="L54" s="92">
        <f t="shared" si="57"/>
        <v>0</v>
      </c>
      <c r="M54" s="93">
        <f t="shared" si="58"/>
        <v>0</v>
      </c>
      <c r="N54" s="94">
        <f t="shared" si="59"/>
        <v>0</v>
      </c>
      <c r="O54" s="94">
        <f t="shared" si="60"/>
        <v>0</v>
      </c>
      <c r="P54" s="92">
        <f t="shared" si="61"/>
        <v>0</v>
      </c>
      <c r="Q54" s="95">
        <f t="shared" si="62"/>
        <v>0</v>
      </c>
      <c r="R54" s="96"/>
    </row>
    <row r="55" spans="1:18" x14ac:dyDescent="0.3">
      <c r="A55" s="83" t="str">
        <f>IF(TRIM(H55)&lt;&gt;"",COUNTA(H$9:$H55)&amp;"","")</f>
        <v>42</v>
      </c>
      <c r="B55" s="84" t="s">
        <v>312</v>
      </c>
      <c r="C55" s="84"/>
      <c r="D55" s="85"/>
      <c r="E55" s="97" t="s">
        <v>321</v>
      </c>
      <c r="F55" s="87">
        <v>11</v>
      </c>
      <c r="H55" s="88" t="s">
        <v>175</v>
      </c>
      <c r="I55" s="89">
        <f t="shared" si="54"/>
        <v>0</v>
      </c>
      <c r="J55" s="90">
        <f t="shared" si="55"/>
        <v>11</v>
      </c>
      <c r="K55" s="91">
        <f t="shared" si="56"/>
        <v>0</v>
      </c>
      <c r="L55" s="92">
        <f t="shared" si="57"/>
        <v>0</v>
      </c>
      <c r="M55" s="93">
        <f t="shared" si="58"/>
        <v>0</v>
      </c>
      <c r="N55" s="94">
        <f t="shared" si="59"/>
        <v>0</v>
      </c>
      <c r="O55" s="94">
        <f t="shared" si="60"/>
        <v>0</v>
      </c>
      <c r="P55" s="92">
        <f t="shared" si="61"/>
        <v>0</v>
      </c>
      <c r="Q55" s="95">
        <f t="shared" si="62"/>
        <v>0</v>
      </c>
      <c r="R55" s="96"/>
    </row>
    <row r="56" spans="1:18" x14ac:dyDescent="0.3">
      <c r="A56" s="83" t="str">
        <f>IF(TRIM(H56)&lt;&gt;"",COUNTA(H$9:$H56)&amp;"","")</f>
        <v>43</v>
      </c>
      <c r="B56" s="84" t="s">
        <v>312</v>
      </c>
      <c r="C56" s="84"/>
      <c r="D56" s="85"/>
      <c r="E56" s="97" t="s">
        <v>322</v>
      </c>
      <c r="F56" s="87">
        <v>55</v>
      </c>
      <c r="H56" s="88" t="s">
        <v>175</v>
      </c>
      <c r="I56" s="89">
        <f t="shared" si="54"/>
        <v>0</v>
      </c>
      <c r="J56" s="90">
        <f t="shared" si="55"/>
        <v>55</v>
      </c>
      <c r="K56" s="91">
        <f t="shared" si="56"/>
        <v>0</v>
      </c>
      <c r="L56" s="92">
        <f t="shared" si="57"/>
        <v>0</v>
      </c>
      <c r="M56" s="93">
        <f t="shared" si="58"/>
        <v>0</v>
      </c>
      <c r="N56" s="94">
        <f t="shared" si="59"/>
        <v>0</v>
      </c>
      <c r="O56" s="94">
        <f t="shared" si="60"/>
        <v>0</v>
      </c>
      <c r="P56" s="92">
        <f t="shared" si="61"/>
        <v>0</v>
      </c>
      <c r="Q56" s="95">
        <f t="shared" si="62"/>
        <v>0</v>
      </c>
      <c r="R56" s="96"/>
    </row>
    <row r="57" spans="1:18" x14ac:dyDescent="0.3">
      <c r="A57" s="83" t="str">
        <f>IF(TRIM(H57)&lt;&gt;"",COUNTA(H$9:$H57)&amp;"","")</f>
        <v>44</v>
      </c>
      <c r="B57" s="84" t="s">
        <v>293</v>
      </c>
      <c r="C57" s="84"/>
      <c r="D57" s="85"/>
      <c r="E57" s="97" t="s">
        <v>323</v>
      </c>
      <c r="F57" s="87">
        <v>1</v>
      </c>
      <c r="H57" s="88" t="s">
        <v>232</v>
      </c>
      <c r="I57" s="89">
        <f t="shared" si="54"/>
        <v>0</v>
      </c>
      <c r="J57" s="90">
        <f t="shared" si="55"/>
        <v>1</v>
      </c>
      <c r="K57" s="91">
        <f t="shared" si="56"/>
        <v>0</v>
      </c>
      <c r="L57" s="92">
        <f t="shared" si="57"/>
        <v>0</v>
      </c>
      <c r="M57" s="93">
        <f t="shared" si="58"/>
        <v>0</v>
      </c>
      <c r="N57" s="94">
        <f t="shared" si="59"/>
        <v>0</v>
      </c>
      <c r="O57" s="94">
        <f t="shared" si="60"/>
        <v>0</v>
      </c>
      <c r="P57" s="92">
        <f t="shared" si="61"/>
        <v>0</v>
      </c>
      <c r="Q57" s="95">
        <f t="shared" si="62"/>
        <v>0</v>
      </c>
      <c r="R57" s="96"/>
    </row>
    <row r="58" spans="1:18" x14ac:dyDescent="0.3">
      <c r="A58" s="83" t="str">
        <f>IF(TRIM(H58)&lt;&gt;"",COUNTA(H$9:$H58)&amp;"","")</f>
        <v>45</v>
      </c>
      <c r="B58" s="84" t="s">
        <v>293</v>
      </c>
      <c r="C58" s="84" t="s">
        <v>325</v>
      </c>
      <c r="D58" s="85"/>
      <c r="E58" s="97" t="s">
        <v>324</v>
      </c>
      <c r="F58" s="87">
        <v>2</v>
      </c>
      <c r="H58" s="88" t="s">
        <v>232</v>
      </c>
      <c r="I58" s="89">
        <f t="shared" si="54"/>
        <v>0</v>
      </c>
      <c r="J58" s="90">
        <f t="shared" si="55"/>
        <v>2</v>
      </c>
      <c r="K58" s="91">
        <f t="shared" si="56"/>
        <v>0</v>
      </c>
      <c r="L58" s="92">
        <f t="shared" si="57"/>
        <v>0</v>
      </c>
      <c r="M58" s="93">
        <f t="shared" si="58"/>
        <v>0</v>
      </c>
      <c r="N58" s="94">
        <f t="shared" si="59"/>
        <v>0</v>
      </c>
      <c r="O58" s="94">
        <f t="shared" si="60"/>
        <v>0</v>
      </c>
      <c r="P58" s="92">
        <f t="shared" si="61"/>
        <v>0</v>
      </c>
      <c r="Q58" s="95">
        <f t="shared" si="62"/>
        <v>0</v>
      </c>
      <c r="R58" s="96"/>
    </row>
    <row r="59" spans="1:18" x14ac:dyDescent="0.3">
      <c r="A59" s="83" t="str">
        <f>IF(TRIM(H59)&lt;&gt;"",COUNTA(H$9:$H59)&amp;"","")</f>
        <v>46</v>
      </c>
      <c r="B59" s="84" t="s">
        <v>295</v>
      </c>
      <c r="C59" s="84"/>
      <c r="D59" s="85"/>
      <c r="E59" s="97" t="s">
        <v>326</v>
      </c>
      <c r="F59" s="87">
        <v>1</v>
      </c>
      <c r="H59" s="88" t="s">
        <v>181</v>
      </c>
      <c r="I59" s="89">
        <f t="shared" si="54"/>
        <v>0</v>
      </c>
      <c r="J59" s="90">
        <f t="shared" si="55"/>
        <v>1</v>
      </c>
      <c r="K59" s="91">
        <f t="shared" si="56"/>
        <v>0</v>
      </c>
      <c r="L59" s="92">
        <f t="shared" si="57"/>
        <v>0</v>
      </c>
      <c r="M59" s="93">
        <f t="shared" si="58"/>
        <v>0</v>
      </c>
      <c r="N59" s="94">
        <f t="shared" si="59"/>
        <v>0</v>
      </c>
      <c r="O59" s="94">
        <f t="shared" si="60"/>
        <v>0</v>
      </c>
      <c r="P59" s="92">
        <f t="shared" si="61"/>
        <v>0</v>
      </c>
      <c r="Q59" s="95">
        <f t="shared" si="62"/>
        <v>0</v>
      </c>
      <c r="R59" s="96"/>
    </row>
    <row r="60" spans="1:18" x14ac:dyDescent="0.3">
      <c r="A60" s="83" t="str">
        <f>IF(TRIM(H60)&lt;&gt;"",COUNTA(H$9:$H60)&amp;"","")</f>
        <v>47</v>
      </c>
      <c r="B60" s="84" t="s">
        <v>295</v>
      </c>
      <c r="C60" s="84"/>
      <c r="D60" s="85"/>
      <c r="E60" s="97" t="s">
        <v>327</v>
      </c>
      <c r="F60" s="87">
        <v>9</v>
      </c>
      <c r="H60" s="88" t="s">
        <v>175</v>
      </c>
      <c r="I60" s="89">
        <f t="shared" si="54"/>
        <v>0</v>
      </c>
      <c r="J60" s="90">
        <f t="shared" si="55"/>
        <v>9</v>
      </c>
      <c r="K60" s="91">
        <f t="shared" si="56"/>
        <v>0</v>
      </c>
      <c r="L60" s="92">
        <f t="shared" si="57"/>
        <v>0</v>
      </c>
      <c r="M60" s="93">
        <f t="shared" si="58"/>
        <v>0</v>
      </c>
      <c r="N60" s="94">
        <f t="shared" si="59"/>
        <v>0</v>
      </c>
      <c r="O60" s="94">
        <f t="shared" si="60"/>
        <v>0</v>
      </c>
      <c r="P60" s="92">
        <f t="shared" si="61"/>
        <v>0</v>
      </c>
      <c r="Q60" s="95">
        <f t="shared" si="62"/>
        <v>0</v>
      </c>
      <c r="R60" s="96"/>
    </row>
    <row r="61" spans="1:18" x14ac:dyDescent="0.3">
      <c r="A61" s="83" t="str">
        <f>IF(TRIM(H61)&lt;&gt;"",COUNTA(H$9:$H61)&amp;"","")</f>
        <v>48</v>
      </c>
      <c r="B61" s="84" t="s">
        <v>329</v>
      </c>
      <c r="C61" s="84"/>
      <c r="D61" s="85"/>
      <c r="E61" s="97" t="s">
        <v>328</v>
      </c>
      <c r="F61" s="87">
        <v>220</v>
      </c>
      <c r="G61" s="64">
        <f>28*7.83</f>
        <v>219.24</v>
      </c>
      <c r="H61" s="88" t="s">
        <v>147</v>
      </c>
      <c r="I61" s="89">
        <f t="shared" si="54"/>
        <v>0</v>
      </c>
      <c r="J61" s="90">
        <f t="shared" si="55"/>
        <v>220</v>
      </c>
      <c r="K61" s="91">
        <f t="shared" si="56"/>
        <v>0</v>
      </c>
      <c r="L61" s="92">
        <f t="shared" si="57"/>
        <v>0</v>
      </c>
      <c r="M61" s="93">
        <f t="shared" si="58"/>
        <v>0</v>
      </c>
      <c r="N61" s="94">
        <f t="shared" si="59"/>
        <v>0</v>
      </c>
      <c r="O61" s="94">
        <f t="shared" si="60"/>
        <v>0</v>
      </c>
      <c r="P61" s="92">
        <f t="shared" si="61"/>
        <v>0</v>
      </c>
      <c r="Q61" s="95">
        <f t="shared" si="62"/>
        <v>0</v>
      </c>
      <c r="R61" s="96"/>
    </row>
    <row r="62" spans="1:18" x14ac:dyDescent="0.3">
      <c r="A62" s="83" t="str">
        <f>IF(TRIM(H62)&lt;&gt;"",COUNTA(H$9:$H62)&amp;"","")</f>
        <v>49</v>
      </c>
      <c r="B62" s="84" t="s">
        <v>331</v>
      </c>
      <c r="C62" s="84" t="s">
        <v>332</v>
      </c>
      <c r="D62" s="85"/>
      <c r="E62" s="97" t="s">
        <v>330</v>
      </c>
      <c r="F62" s="87">
        <v>1</v>
      </c>
      <c r="H62" s="88" t="s">
        <v>232</v>
      </c>
      <c r="I62" s="89">
        <f t="shared" si="54"/>
        <v>0</v>
      </c>
      <c r="J62" s="90">
        <f t="shared" si="55"/>
        <v>1</v>
      </c>
      <c r="K62" s="91">
        <f t="shared" si="56"/>
        <v>0</v>
      </c>
      <c r="L62" s="92">
        <f t="shared" si="57"/>
        <v>0</v>
      </c>
      <c r="M62" s="93">
        <f t="shared" si="58"/>
        <v>0</v>
      </c>
      <c r="N62" s="94">
        <f t="shared" si="59"/>
        <v>0</v>
      </c>
      <c r="O62" s="94">
        <f t="shared" si="60"/>
        <v>0</v>
      </c>
      <c r="P62" s="92">
        <f t="shared" si="61"/>
        <v>0</v>
      </c>
      <c r="Q62" s="95">
        <f t="shared" si="62"/>
        <v>0</v>
      </c>
      <c r="R62" s="96"/>
    </row>
    <row r="63" spans="1:18" x14ac:dyDescent="0.3">
      <c r="A63" s="83" t="str">
        <f>IF(TRIM(H63)&lt;&gt;"",COUNTA(H$9:$H63)&amp;"","")</f>
        <v>50</v>
      </c>
      <c r="B63" s="84" t="s">
        <v>331</v>
      </c>
      <c r="C63" s="84" t="s">
        <v>334</v>
      </c>
      <c r="D63" s="85"/>
      <c r="E63" s="97" t="s">
        <v>333</v>
      </c>
      <c r="F63" s="87">
        <v>1</v>
      </c>
      <c r="H63" s="88" t="s">
        <v>232</v>
      </c>
      <c r="I63" s="89">
        <f t="shared" si="54"/>
        <v>0</v>
      </c>
      <c r="J63" s="90">
        <f t="shared" si="55"/>
        <v>1</v>
      </c>
      <c r="K63" s="91">
        <f t="shared" si="56"/>
        <v>0</v>
      </c>
      <c r="L63" s="92">
        <f t="shared" si="57"/>
        <v>0</v>
      </c>
      <c r="M63" s="93">
        <f t="shared" si="58"/>
        <v>0</v>
      </c>
      <c r="N63" s="94">
        <f t="shared" si="59"/>
        <v>0</v>
      </c>
      <c r="O63" s="94">
        <f t="shared" si="60"/>
        <v>0</v>
      </c>
      <c r="P63" s="92">
        <f t="shared" si="61"/>
        <v>0</v>
      </c>
      <c r="Q63" s="95">
        <f t="shared" si="62"/>
        <v>0</v>
      </c>
      <c r="R63" s="96"/>
    </row>
    <row r="64" spans="1:18" x14ac:dyDescent="0.3">
      <c r="A64" s="83" t="str">
        <f>IF(TRIM(H64)&lt;&gt;"",COUNTA(H$9:$H64)&amp;"","")</f>
        <v>51</v>
      </c>
      <c r="B64" s="84" t="s">
        <v>315</v>
      </c>
      <c r="C64" s="84" t="s">
        <v>336</v>
      </c>
      <c r="D64" s="85"/>
      <c r="E64" s="97" t="s">
        <v>335</v>
      </c>
      <c r="F64" s="87">
        <v>586</v>
      </c>
      <c r="H64" s="88" t="s">
        <v>175</v>
      </c>
      <c r="I64" s="89">
        <f t="shared" ref="I64:I66" si="63">IF(F64=0,"",0)</f>
        <v>0</v>
      </c>
      <c r="J64" s="90">
        <f t="shared" ref="J64:J66" si="64">IF(F64=0,"",F64+(F64*I64))</f>
        <v>586</v>
      </c>
      <c r="K64" s="91">
        <f t="shared" ref="K64:K66" si="65">IF(F64=0,"",0)</f>
        <v>0</v>
      </c>
      <c r="L64" s="92">
        <f t="shared" ref="L64:L66" si="66">IF(F64=0,"",K64*J64)</f>
        <v>0</v>
      </c>
      <c r="M64" s="93">
        <f t="shared" ref="M64:M66" si="67">IF(F64=0,"",M$7)</f>
        <v>0</v>
      </c>
      <c r="N64" s="94">
        <f t="shared" ref="N64:N66" si="68">IF(F64=0,"",0)</f>
        <v>0</v>
      </c>
      <c r="O64" s="94">
        <f t="shared" ref="O64:O66" si="69">IF(F64=0,"",N64*J64)</f>
        <v>0</v>
      </c>
      <c r="P64" s="92">
        <f t="shared" ref="P64:P66" si="70">IF(F64=0,"",O64*M64)</f>
        <v>0</v>
      </c>
      <c r="Q64" s="95">
        <f t="shared" ref="Q64:Q66" si="71">IF(F64=0,"",L64+P64)</f>
        <v>0</v>
      </c>
      <c r="R64" s="96"/>
    </row>
    <row r="65" spans="1:18" ht="27.6" x14ac:dyDescent="0.3">
      <c r="A65" s="83" t="str">
        <f>IF(TRIM(H65)&lt;&gt;"",COUNTA(H$9:$H65)&amp;"","")</f>
        <v>52</v>
      </c>
      <c r="B65" s="84" t="s">
        <v>315</v>
      </c>
      <c r="C65" s="84" t="s">
        <v>336</v>
      </c>
      <c r="D65" s="85"/>
      <c r="E65" s="97" t="s">
        <v>496</v>
      </c>
      <c r="F65" s="87">
        <v>585</v>
      </c>
      <c r="H65" s="88" t="s">
        <v>147</v>
      </c>
      <c r="I65" s="89">
        <f t="shared" si="63"/>
        <v>0</v>
      </c>
      <c r="J65" s="90">
        <f t="shared" si="64"/>
        <v>585</v>
      </c>
      <c r="K65" s="91">
        <f t="shared" si="65"/>
        <v>0</v>
      </c>
      <c r="L65" s="92">
        <f t="shared" si="66"/>
        <v>0</v>
      </c>
      <c r="M65" s="93">
        <f t="shared" si="67"/>
        <v>0</v>
      </c>
      <c r="N65" s="94">
        <f t="shared" si="68"/>
        <v>0</v>
      </c>
      <c r="O65" s="94">
        <f t="shared" si="69"/>
        <v>0</v>
      </c>
      <c r="P65" s="92">
        <f t="shared" si="70"/>
        <v>0</v>
      </c>
      <c r="Q65" s="95">
        <f t="shared" si="71"/>
        <v>0</v>
      </c>
      <c r="R65" s="96"/>
    </row>
    <row r="66" spans="1:18" x14ac:dyDescent="0.3">
      <c r="A66" s="83" t="str">
        <f>IF(TRIM(H66)&lt;&gt;"",COUNTA(H$9:$H66)&amp;"","")</f>
        <v>53</v>
      </c>
      <c r="B66" s="84" t="s">
        <v>339</v>
      </c>
      <c r="C66" s="84" t="s">
        <v>340</v>
      </c>
      <c r="D66" s="85"/>
      <c r="E66" s="97" t="s">
        <v>338</v>
      </c>
      <c r="F66" s="87">
        <v>225</v>
      </c>
      <c r="H66" s="88" t="s">
        <v>147</v>
      </c>
      <c r="I66" s="89">
        <f t="shared" si="63"/>
        <v>0</v>
      </c>
      <c r="J66" s="90">
        <f t="shared" si="64"/>
        <v>225</v>
      </c>
      <c r="K66" s="91">
        <f t="shared" si="65"/>
        <v>0</v>
      </c>
      <c r="L66" s="92">
        <f t="shared" si="66"/>
        <v>0</v>
      </c>
      <c r="M66" s="93">
        <f t="shared" si="67"/>
        <v>0</v>
      </c>
      <c r="N66" s="94">
        <f t="shared" si="68"/>
        <v>0</v>
      </c>
      <c r="O66" s="94">
        <f t="shared" si="69"/>
        <v>0</v>
      </c>
      <c r="P66" s="92">
        <f t="shared" si="70"/>
        <v>0</v>
      </c>
      <c r="Q66" s="95">
        <f t="shared" si="71"/>
        <v>0</v>
      </c>
      <c r="R66" s="96"/>
    </row>
    <row r="67" spans="1:18" x14ac:dyDescent="0.3">
      <c r="A67" s="83" t="str">
        <f>IF(TRIM(H67)&lt;&gt;"",COUNTA(H$9:$H67)&amp;"","")</f>
        <v>54</v>
      </c>
      <c r="B67" s="84" t="s">
        <v>341</v>
      </c>
      <c r="C67" s="84" t="s">
        <v>340</v>
      </c>
      <c r="D67" s="85"/>
      <c r="E67" s="97" t="s">
        <v>342</v>
      </c>
      <c r="F67" s="87">
        <v>7850</v>
      </c>
      <c r="H67" s="88" t="s">
        <v>147</v>
      </c>
      <c r="I67" s="89">
        <f t="shared" si="54"/>
        <v>0</v>
      </c>
      <c r="J67" s="90">
        <f t="shared" si="55"/>
        <v>7850</v>
      </c>
      <c r="K67" s="91">
        <f t="shared" si="56"/>
        <v>0</v>
      </c>
      <c r="L67" s="92">
        <f t="shared" si="57"/>
        <v>0</v>
      </c>
      <c r="M67" s="93">
        <f t="shared" si="58"/>
        <v>0</v>
      </c>
      <c r="N67" s="94">
        <f t="shared" si="59"/>
        <v>0</v>
      </c>
      <c r="O67" s="94">
        <f t="shared" si="60"/>
        <v>0</v>
      </c>
      <c r="P67" s="92">
        <f t="shared" si="61"/>
        <v>0</v>
      </c>
      <c r="Q67" s="95">
        <f t="shared" si="62"/>
        <v>0</v>
      </c>
      <c r="R67" s="96"/>
    </row>
    <row r="68" spans="1:18" x14ac:dyDescent="0.3">
      <c r="A68" s="83" t="str">
        <f>IF(TRIM(H68)&lt;&gt;"",COUNTA(H$9:$H68)&amp;"","")</f>
        <v>55</v>
      </c>
      <c r="B68" s="84" t="s">
        <v>293</v>
      </c>
      <c r="C68" s="84" t="s">
        <v>344</v>
      </c>
      <c r="D68" s="85"/>
      <c r="E68" s="97" t="s">
        <v>343</v>
      </c>
      <c r="F68" s="87">
        <v>890</v>
      </c>
      <c r="G68" s="64">
        <f>74*12</f>
        <v>888</v>
      </c>
      <c r="H68" s="88" t="s">
        <v>147</v>
      </c>
      <c r="I68" s="89">
        <f t="shared" ref="I68:I70" si="72">IF(F68=0,"",0)</f>
        <v>0</v>
      </c>
      <c r="J68" s="90">
        <f t="shared" ref="J68:J70" si="73">IF(F68=0,"",F68+(F68*I68))</f>
        <v>890</v>
      </c>
      <c r="K68" s="91">
        <f t="shared" ref="K68:K70" si="74">IF(F68=0,"",0)</f>
        <v>0</v>
      </c>
      <c r="L68" s="92">
        <f t="shared" ref="L68:L70" si="75">IF(F68=0,"",K68*J68)</f>
        <v>0</v>
      </c>
      <c r="M68" s="93">
        <f t="shared" ref="M68:M70" si="76">IF(F68=0,"",M$7)</f>
        <v>0</v>
      </c>
      <c r="N68" s="94">
        <f t="shared" ref="N68:N70" si="77">IF(F68=0,"",0)</f>
        <v>0</v>
      </c>
      <c r="O68" s="94">
        <f t="shared" ref="O68:O70" si="78">IF(F68=0,"",N68*J68)</f>
        <v>0</v>
      </c>
      <c r="P68" s="92">
        <f t="shared" ref="P68:P70" si="79">IF(F68=0,"",O68*M68)</f>
        <v>0</v>
      </c>
      <c r="Q68" s="95">
        <f t="shared" ref="Q68:Q70" si="80">IF(F68=0,"",L68+P68)</f>
        <v>0</v>
      </c>
      <c r="R68" s="96"/>
    </row>
    <row r="69" spans="1:18" x14ac:dyDescent="0.3">
      <c r="A69" s="83" t="str">
        <f>IF(TRIM(H69)&lt;&gt;"",COUNTA(H$9:$H69)&amp;"","")</f>
        <v>56</v>
      </c>
      <c r="B69" s="84" t="s">
        <v>346</v>
      </c>
      <c r="C69" s="84"/>
      <c r="D69" s="85"/>
      <c r="E69" s="97" t="s">
        <v>345</v>
      </c>
      <c r="F69" s="87">
        <v>2965</v>
      </c>
      <c r="G69" s="64">
        <f>12*247</f>
        <v>2964</v>
      </c>
      <c r="H69" s="88" t="s">
        <v>147</v>
      </c>
      <c r="I69" s="89">
        <f t="shared" si="72"/>
        <v>0</v>
      </c>
      <c r="J69" s="90">
        <f t="shared" si="73"/>
        <v>2965</v>
      </c>
      <c r="K69" s="91">
        <f t="shared" si="74"/>
        <v>0</v>
      </c>
      <c r="L69" s="92">
        <f t="shared" si="75"/>
        <v>0</v>
      </c>
      <c r="M69" s="93">
        <f t="shared" si="76"/>
        <v>0</v>
      </c>
      <c r="N69" s="94">
        <f t="shared" si="77"/>
        <v>0</v>
      </c>
      <c r="O69" s="94">
        <f t="shared" si="78"/>
        <v>0</v>
      </c>
      <c r="P69" s="92">
        <f t="shared" si="79"/>
        <v>0</v>
      </c>
      <c r="Q69" s="95">
        <f t="shared" si="80"/>
        <v>0</v>
      </c>
      <c r="R69" s="96"/>
    </row>
    <row r="70" spans="1:18" x14ac:dyDescent="0.3">
      <c r="A70" s="83" t="str">
        <f>IF(TRIM(H70)&lt;&gt;"",COUNTA(H$9:$H70)&amp;"","")</f>
        <v>57</v>
      </c>
      <c r="B70" s="84" t="s">
        <v>412</v>
      </c>
      <c r="C70" s="84"/>
      <c r="D70" s="85"/>
      <c r="E70" s="97" t="s">
        <v>418</v>
      </c>
      <c r="F70" s="87">
        <v>120</v>
      </c>
      <c r="H70" s="88" t="s">
        <v>147</v>
      </c>
      <c r="I70" s="89">
        <f t="shared" si="72"/>
        <v>0</v>
      </c>
      <c r="J70" s="90">
        <f t="shared" si="73"/>
        <v>120</v>
      </c>
      <c r="K70" s="91">
        <f t="shared" si="74"/>
        <v>0</v>
      </c>
      <c r="L70" s="92">
        <f t="shared" si="75"/>
        <v>0</v>
      </c>
      <c r="M70" s="93">
        <f t="shared" si="76"/>
        <v>0</v>
      </c>
      <c r="N70" s="94">
        <f t="shared" si="77"/>
        <v>0</v>
      </c>
      <c r="O70" s="94">
        <f t="shared" si="78"/>
        <v>0</v>
      </c>
      <c r="P70" s="92">
        <f t="shared" si="79"/>
        <v>0</v>
      </c>
      <c r="Q70" s="95">
        <f t="shared" si="80"/>
        <v>0</v>
      </c>
      <c r="R70" s="96"/>
    </row>
    <row r="71" spans="1:18" x14ac:dyDescent="0.3">
      <c r="A71" s="83" t="str">
        <f>IF(TRIM(H71)&lt;&gt;"",COUNTA(H$9:$H71)&amp;"","")</f>
        <v>58</v>
      </c>
      <c r="B71" s="84" t="s">
        <v>286</v>
      </c>
      <c r="C71" s="84" t="s">
        <v>287</v>
      </c>
      <c r="D71" s="85"/>
      <c r="E71" s="97" t="s">
        <v>285</v>
      </c>
      <c r="F71" s="87">
        <v>6</v>
      </c>
      <c r="H71" s="88" t="s">
        <v>232</v>
      </c>
      <c r="I71" s="89">
        <f t="shared" si="54"/>
        <v>0</v>
      </c>
      <c r="J71" s="90">
        <f t="shared" si="55"/>
        <v>6</v>
      </c>
      <c r="K71" s="91">
        <f t="shared" si="56"/>
        <v>0</v>
      </c>
      <c r="L71" s="92">
        <f t="shared" si="57"/>
        <v>0</v>
      </c>
      <c r="M71" s="93">
        <f t="shared" si="58"/>
        <v>0</v>
      </c>
      <c r="N71" s="94">
        <f t="shared" si="59"/>
        <v>0</v>
      </c>
      <c r="O71" s="94">
        <f t="shared" si="60"/>
        <v>0</v>
      </c>
      <c r="P71" s="92">
        <f t="shared" si="61"/>
        <v>0</v>
      </c>
      <c r="Q71" s="95">
        <f t="shared" si="62"/>
        <v>0</v>
      </c>
      <c r="R71" s="96"/>
    </row>
    <row r="72" spans="1:18" x14ac:dyDescent="0.3">
      <c r="A72" s="83" t="str">
        <f>IF(TRIM(H72)&lt;&gt;"",COUNTA(H$9:$H72)&amp;"","")</f>
        <v>59</v>
      </c>
      <c r="B72" s="84" t="s">
        <v>293</v>
      </c>
      <c r="C72" s="84" t="s">
        <v>306</v>
      </c>
      <c r="D72" s="85"/>
      <c r="E72" s="97" t="s">
        <v>303</v>
      </c>
      <c r="F72" s="87">
        <v>6</v>
      </c>
      <c r="H72" s="88" t="s">
        <v>232</v>
      </c>
      <c r="I72" s="89">
        <f t="shared" si="54"/>
        <v>0</v>
      </c>
      <c r="J72" s="90">
        <f t="shared" si="55"/>
        <v>6</v>
      </c>
      <c r="K72" s="91">
        <f t="shared" si="56"/>
        <v>0</v>
      </c>
      <c r="L72" s="92">
        <f t="shared" si="57"/>
        <v>0</v>
      </c>
      <c r="M72" s="93">
        <f t="shared" si="58"/>
        <v>0</v>
      </c>
      <c r="N72" s="94">
        <f t="shared" si="59"/>
        <v>0</v>
      </c>
      <c r="O72" s="94">
        <f t="shared" si="60"/>
        <v>0</v>
      </c>
      <c r="P72" s="92">
        <f t="shared" si="61"/>
        <v>0</v>
      </c>
      <c r="Q72" s="95">
        <f t="shared" si="62"/>
        <v>0</v>
      </c>
      <c r="R72" s="96"/>
    </row>
    <row r="73" spans="1:18" x14ac:dyDescent="0.3">
      <c r="A73" s="83" t="str">
        <f>IF(TRIM(H73)&lt;&gt;"",COUNTA(H$9:$H73)&amp;"","")</f>
        <v>60</v>
      </c>
      <c r="B73" s="84" t="s">
        <v>293</v>
      </c>
      <c r="C73" s="84" t="s">
        <v>305</v>
      </c>
      <c r="D73" s="85"/>
      <c r="E73" s="97" t="s">
        <v>304</v>
      </c>
      <c r="F73" s="87">
        <v>2</v>
      </c>
      <c r="H73" s="88" t="s">
        <v>232</v>
      </c>
      <c r="I73" s="89">
        <f t="shared" si="54"/>
        <v>0</v>
      </c>
      <c r="J73" s="90">
        <f t="shared" si="55"/>
        <v>2</v>
      </c>
      <c r="K73" s="91">
        <f t="shared" si="56"/>
        <v>0</v>
      </c>
      <c r="L73" s="92">
        <f t="shared" si="57"/>
        <v>0</v>
      </c>
      <c r="M73" s="93">
        <f t="shared" si="58"/>
        <v>0</v>
      </c>
      <c r="N73" s="94">
        <f t="shared" si="59"/>
        <v>0</v>
      </c>
      <c r="O73" s="94">
        <f t="shared" si="60"/>
        <v>0</v>
      </c>
      <c r="P73" s="92">
        <f t="shared" si="61"/>
        <v>0</v>
      </c>
      <c r="Q73" s="95">
        <f t="shared" si="62"/>
        <v>0</v>
      </c>
      <c r="R73" s="96"/>
    </row>
    <row r="74" spans="1:18" x14ac:dyDescent="0.3">
      <c r="A74" s="83" t="str">
        <f>IF(TRIM(H74)&lt;&gt;"",COUNTA(H$9:$H74)&amp;"","")</f>
        <v>61</v>
      </c>
      <c r="B74" s="84" t="s">
        <v>392</v>
      </c>
      <c r="C74" s="84" t="s">
        <v>393</v>
      </c>
      <c r="D74" s="85"/>
      <c r="E74" s="97" t="s">
        <v>391</v>
      </c>
      <c r="F74" s="87">
        <v>37</v>
      </c>
      <c r="H74" s="88" t="s">
        <v>175</v>
      </c>
      <c r="I74" s="89">
        <f t="shared" si="54"/>
        <v>0</v>
      </c>
      <c r="J74" s="90">
        <f t="shared" si="55"/>
        <v>37</v>
      </c>
      <c r="K74" s="91">
        <f t="shared" si="56"/>
        <v>0</v>
      </c>
      <c r="L74" s="92">
        <f t="shared" si="57"/>
        <v>0</v>
      </c>
      <c r="M74" s="93">
        <f t="shared" si="58"/>
        <v>0</v>
      </c>
      <c r="N74" s="94">
        <f t="shared" si="59"/>
        <v>0</v>
      </c>
      <c r="O74" s="94">
        <f t="shared" si="60"/>
        <v>0</v>
      </c>
      <c r="P74" s="92">
        <f t="shared" si="61"/>
        <v>0</v>
      </c>
      <c r="Q74" s="95">
        <f t="shared" si="62"/>
        <v>0</v>
      </c>
      <c r="R74" s="96"/>
    </row>
    <row r="75" spans="1:18" x14ac:dyDescent="0.3">
      <c r="A75" s="83" t="str">
        <f>IF(TRIM(H75)&lt;&gt;"",COUNTA(H$9:$H75)&amp;"","")</f>
        <v>62</v>
      </c>
      <c r="B75" s="84" t="s">
        <v>495</v>
      </c>
      <c r="C75" s="84"/>
      <c r="D75" s="85"/>
      <c r="E75" s="97" t="s">
        <v>494</v>
      </c>
      <c r="F75" s="87">
        <v>5</v>
      </c>
      <c r="H75" s="88" t="s">
        <v>232</v>
      </c>
      <c r="I75" s="89">
        <f t="shared" si="54"/>
        <v>0</v>
      </c>
      <c r="J75" s="90">
        <f t="shared" si="55"/>
        <v>5</v>
      </c>
      <c r="K75" s="91">
        <f t="shared" si="56"/>
        <v>0</v>
      </c>
      <c r="L75" s="92">
        <f t="shared" si="57"/>
        <v>0</v>
      </c>
      <c r="M75" s="93">
        <f t="shared" si="58"/>
        <v>0</v>
      </c>
      <c r="N75" s="94">
        <f t="shared" si="59"/>
        <v>0</v>
      </c>
      <c r="O75" s="94">
        <f t="shared" si="60"/>
        <v>0</v>
      </c>
      <c r="P75" s="92">
        <f t="shared" si="61"/>
        <v>0</v>
      </c>
      <c r="Q75" s="95">
        <f t="shared" si="62"/>
        <v>0</v>
      </c>
      <c r="R75" s="96"/>
    </row>
    <row r="76" spans="1:18" x14ac:dyDescent="0.3">
      <c r="A76" s="83" t="str">
        <f>IF(TRIM(H76)&lt;&gt;"",COUNTA(H$9:$H76)&amp;"","")</f>
        <v>63</v>
      </c>
      <c r="B76" s="84" t="s">
        <v>475</v>
      </c>
      <c r="C76" s="84" t="s">
        <v>526</v>
      </c>
      <c r="D76" s="85"/>
      <c r="E76" s="97" t="s">
        <v>525</v>
      </c>
      <c r="F76" s="87">
        <v>70</v>
      </c>
      <c r="H76" s="88" t="s">
        <v>232</v>
      </c>
      <c r="I76" s="89">
        <f>IF(F76=0,"",0)</f>
        <v>0</v>
      </c>
      <c r="J76" s="90">
        <f>IF(F76=0,"",F76+(F76*I76))</f>
        <v>70</v>
      </c>
      <c r="K76" s="91">
        <f>IF(F76=0,"",0)</f>
        <v>0</v>
      </c>
      <c r="L76" s="92">
        <f>IF(F76=0,"",K76*J76)</f>
        <v>0</v>
      </c>
      <c r="M76" s="93">
        <f>IF(F76=0,"",M$7)</f>
        <v>0</v>
      </c>
      <c r="N76" s="94">
        <f>IF(F76=0,"",0)</f>
        <v>0</v>
      </c>
      <c r="O76" s="94">
        <f>IF(F76=0,"",N76*J76)</f>
        <v>0</v>
      </c>
      <c r="P76" s="92">
        <f>IF(F76=0,"",O76*M76)</f>
        <v>0</v>
      </c>
      <c r="Q76" s="95">
        <f>IF(F76=0,"",L76+P76)</f>
        <v>0</v>
      </c>
      <c r="R76" s="96"/>
    </row>
    <row r="77" spans="1:18" ht="15" thickBot="1" x14ac:dyDescent="0.35">
      <c r="A77" s="83" t="str">
        <f>IF(TRIM(H77)&lt;&gt;"",COUNTA(H$9:$H77)&amp;"","")</f>
        <v/>
      </c>
      <c r="B77" s="98"/>
      <c r="C77" s="98"/>
      <c r="D77" s="85"/>
      <c r="E77" s="99"/>
      <c r="F77" s="87"/>
      <c r="H77" s="88"/>
      <c r="I77" s="89" t="str">
        <f t="shared" si="54"/>
        <v/>
      </c>
      <c r="J77" s="90" t="str">
        <f t="shared" si="55"/>
        <v/>
      </c>
      <c r="K77" s="91" t="str">
        <f t="shared" si="56"/>
        <v/>
      </c>
      <c r="L77" s="92" t="str">
        <f t="shared" si="57"/>
        <v/>
      </c>
      <c r="M77" s="93" t="str">
        <f t="shared" si="58"/>
        <v/>
      </c>
      <c r="N77" s="94" t="str">
        <f t="shared" si="59"/>
        <v/>
      </c>
      <c r="O77" s="94" t="str">
        <f t="shared" si="60"/>
        <v/>
      </c>
      <c r="P77" s="92" t="str">
        <f t="shared" si="61"/>
        <v/>
      </c>
      <c r="Q77" s="95" t="str">
        <f t="shared" si="62"/>
        <v/>
      </c>
      <c r="R77" s="96"/>
    </row>
    <row r="78" spans="1:18" s="111" customFormat="1" ht="16.2" thickBot="1" x14ac:dyDescent="0.35">
      <c r="A78" s="83" t="str">
        <f>IF(TRIM(H78)&lt;&gt;"",COUNTA(H$9:$H78)&amp;"","")</f>
        <v/>
      </c>
      <c r="B78" s="100"/>
      <c r="C78" s="100"/>
      <c r="D78" s="101"/>
      <c r="E78" s="102"/>
      <c r="F78" s="103"/>
      <c r="H78" s="104"/>
      <c r="I78" s="105" t="s">
        <v>12</v>
      </c>
      <c r="J78" s="106"/>
      <c r="K78" s="107">
        <f>SUM(L$24:L$77)</f>
        <v>0</v>
      </c>
      <c r="L78" s="211" t="s">
        <v>13</v>
      </c>
      <c r="M78" s="212"/>
      <c r="N78" s="108">
        <f>SUM(P$24:P$77)</f>
        <v>0</v>
      </c>
      <c r="O78" s="211" t="s">
        <v>42</v>
      </c>
      <c r="P78" s="212"/>
      <c r="Q78" s="109">
        <f>SUM(O$24:O$77)</f>
        <v>0</v>
      </c>
      <c r="R78" s="110">
        <f>SUM(Q$24:Q$77)</f>
        <v>0</v>
      </c>
    </row>
    <row r="79" spans="1:18" s="164" customFormat="1" ht="20.100000000000001" customHeight="1" x14ac:dyDescent="0.3">
      <c r="A79" s="160" t="str">
        <f>IF(TRIM(H79)&lt;&gt;"",COUNTA(H$9:$H79)&amp;"","")</f>
        <v/>
      </c>
      <c r="B79" s="161"/>
      <c r="C79" s="161"/>
      <c r="D79" s="162" t="s">
        <v>56</v>
      </c>
      <c r="E79" s="162" t="s">
        <v>67</v>
      </c>
      <c r="F79" s="163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5"/>
    </row>
    <row r="80" spans="1:18" s="113" customFormat="1" ht="19.2" customHeight="1" x14ac:dyDescent="0.3">
      <c r="A80" s="83" t="str">
        <f>IF(TRIM(H80)&lt;&gt;"",COUNTA(H$9:$H80)&amp;"","")</f>
        <v/>
      </c>
      <c r="B80" s="112"/>
      <c r="C80" s="112"/>
      <c r="D80" s="85" t="s">
        <v>199</v>
      </c>
      <c r="E80" s="158" t="s">
        <v>68</v>
      </c>
      <c r="F80" s="87"/>
      <c r="H80" s="88"/>
      <c r="I80" s="89" t="str">
        <f t="shared" ref="I80:I86" si="81">IF(F80=0,"",0)</f>
        <v/>
      </c>
      <c r="J80" s="90" t="str">
        <f t="shared" ref="J80:J86" si="82">IF(F80=0,"",F80+(F80*I80))</f>
        <v/>
      </c>
      <c r="K80" s="91" t="str">
        <f t="shared" ref="K80:K86" si="83">IF(F80=0,"",0)</f>
        <v/>
      </c>
      <c r="L80" s="92" t="str">
        <f t="shared" ref="L80:L86" si="84">IF(F80=0,"",K80*J80)</f>
        <v/>
      </c>
      <c r="M80" s="93" t="str">
        <f t="shared" ref="M80:M86" si="85">IF(F80=0,"",M$7)</f>
        <v/>
      </c>
      <c r="N80" s="94" t="str">
        <f t="shared" ref="N80:N86" si="86">IF(F80=0,"",0)</f>
        <v/>
      </c>
      <c r="O80" s="94" t="str">
        <f t="shared" ref="O80:O86" si="87">IF(F80=0,"",N80*J80)</f>
        <v/>
      </c>
      <c r="P80" s="92" t="str">
        <f t="shared" ref="P80:P86" si="88">IF(F80=0,"",O80*M80)</f>
        <v/>
      </c>
      <c r="Q80" s="95" t="str">
        <f t="shared" ref="Q80:Q86" si="89">IF(F80=0,"",L80+P80)</f>
        <v/>
      </c>
      <c r="R80" s="96"/>
    </row>
    <row r="81" spans="1:18" x14ac:dyDescent="0.3">
      <c r="A81" s="83" t="str">
        <f>IF(TRIM(H81)&lt;&gt;"",COUNTA(H$9:$H81)&amp;"","")</f>
        <v>64</v>
      </c>
      <c r="B81" s="84" t="s">
        <v>372</v>
      </c>
      <c r="C81" s="84" t="s">
        <v>401</v>
      </c>
      <c r="D81" s="85"/>
      <c r="E81" s="97" t="s">
        <v>404</v>
      </c>
      <c r="F81" s="87">
        <v>10</v>
      </c>
      <c r="H81" s="88" t="s">
        <v>147</v>
      </c>
      <c r="I81" s="89">
        <f t="shared" si="81"/>
        <v>0</v>
      </c>
      <c r="J81" s="90">
        <f t="shared" si="82"/>
        <v>10</v>
      </c>
      <c r="K81" s="91">
        <f t="shared" si="83"/>
        <v>0</v>
      </c>
      <c r="L81" s="92">
        <f t="shared" si="84"/>
        <v>0</v>
      </c>
      <c r="M81" s="93">
        <f t="shared" si="85"/>
        <v>0</v>
      </c>
      <c r="N81" s="94">
        <f t="shared" si="86"/>
        <v>0</v>
      </c>
      <c r="O81" s="94">
        <f t="shared" si="87"/>
        <v>0</v>
      </c>
      <c r="P81" s="92">
        <f t="shared" si="88"/>
        <v>0</v>
      </c>
      <c r="Q81" s="95">
        <f t="shared" si="89"/>
        <v>0</v>
      </c>
      <c r="R81" s="96"/>
    </row>
    <row r="82" spans="1:18" ht="82.8" x14ac:dyDescent="0.3">
      <c r="A82" s="83" t="str">
        <f>IF(TRIM(H82)&lt;&gt;"",COUNTA(H$9:$H82)&amp;"","")</f>
        <v>65</v>
      </c>
      <c r="B82" s="84" t="s">
        <v>451</v>
      </c>
      <c r="C82" s="84" t="s">
        <v>497</v>
      </c>
      <c r="D82" s="85"/>
      <c r="E82" s="97" t="s">
        <v>498</v>
      </c>
      <c r="F82" s="87">
        <v>585</v>
      </c>
      <c r="H82" s="88" t="s">
        <v>147</v>
      </c>
      <c r="I82" s="89">
        <f t="shared" si="81"/>
        <v>0</v>
      </c>
      <c r="J82" s="90">
        <f t="shared" si="82"/>
        <v>585</v>
      </c>
      <c r="K82" s="91">
        <f t="shared" si="83"/>
        <v>0</v>
      </c>
      <c r="L82" s="92">
        <f t="shared" si="84"/>
        <v>0</v>
      </c>
      <c r="M82" s="93">
        <f t="shared" si="85"/>
        <v>0</v>
      </c>
      <c r="N82" s="94">
        <f t="shared" si="86"/>
        <v>0</v>
      </c>
      <c r="O82" s="94">
        <f t="shared" si="87"/>
        <v>0</v>
      </c>
      <c r="P82" s="92">
        <f t="shared" si="88"/>
        <v>0</v>
      </c>
      <c r="Q82" s="95">
        <f t="shared" si="89"/>
        <v>0</v>
      </c>
      <c r="R82" s="96"/>
    </row>
    <row r="83" spans="1:18" x14ac:dyDescent="0.3">
      <c r="A83" s="83" t="str">
        <f>IF(TRIM(H83)&lt;&gt;"",COUNTA(H$9:$H83)&amp;"","")</f>
        <v>66</v>
      </c>
      <c r="B83" s="84" t="s">
        <v>500</v>
      </c>
      <c r="C83" s="84" t="s">
        <v>305</v>
      </c>
      <c r="D83" s="85"/>
      <c r="E83" s="97" t="s">
        <v>499</v>
      </c>
      <c r="F83" s="87">
        <v>20</v>
      </c>
      <c r="H83" s="88" t="s">
        <v>147</v>
      </c>
      <c r="I83" s="89">
        <f t="shared" si="81"/>
        <v>0</v>
      </c>
      <c r="J83" s="90">
        <f t="shared" si="82"/>
        <v>20</v>
      </c>
      <c r="K83" s="91">
        <f t="shared" si="83"/>
        <v>0</v>
      </c>
      <c r="L83" s="92">
        <f t="shared" si="84"/>
        <v>0</v>
      </c>
      <c r="M83" s="93">
        <f t="shared" si="85"/>
        <v>0</v>
      </c>
      <c r="N83" s="94">
        <f t="shared" si="86"/>
        <v>0</v>
      </c>
      <c r="O83" s="94">
        <f t="shared" si="87"/>
        <v>0</v>
      </c>
      <c r="P83" s="92">
        <f t="shared" si="88"/>
        <v>0</v>
      </c>
      <c r="Q83" s="95">
        <f t="shared" si="89"/>
        <v>0</v>
      </c>
      <c r="R83" s="96"/>
    </row>
    <row r="84" spans="1:18" s="113" customFormat="1" ht="19.2" customHeight="1" x14ac:dyDescent="0.3">
      <c r="A84" s="83" t="str">
        <f>IF(TRIM(H84)&lt;&gt;"",COUNTA(H$9:$H84)&amp;"","")</f>
        <v/>
      </c>
      <c r="B84" s="112"/>
      <c r="C84" s="112"/>
      <c r="D84" s="85"/>
      <c r="E84" s="158" t="s">
        <v>69</v>
      </c>
      <c r="F84" s="87"/>
      <c r="H84" s="88"/>
      <c r="I84" s="89" t="str">
        <f t="shared" si="81"/>
        <v/>
      </c>
      <c r="J84" s="90" t="str">
        <f t="shared" si="82"/>
        <v/>
      </c>
      <c r="K84" s="91" t="str">
        <f t="shared" si="83"/>
        <v/>
      </c>
      <c r="L84" s="92" t="str">
        <f t="shared" si="84"/>
        <v/>
      </c>
      <c r="M84" s="93" t="str">
        <f t="shared" si="85"/>
        <v/>
      </c>
      <c r="N84" s="94" t="str">
        <f t="shared" si="86"/>
        <v/>
      </c>
      <c r="O84" s="94" t="str">
        <f t="shared" si="87"/>
        <v/>
      </c>
      <c r="P84" s="92" t="str">
        <f t="shared" si="88"/>
        <v/>
      </c>
      <c r="Q84" s="95" t="str">
        <f t="shared" si="89"/>
        <v/>
      </c>
      <c r="R84" s="96"/>
    </row>
    <row r="85" spans="1:18" x14ac:dyDescent="0.3">
      <c r="A85" s="83" t="str">
        <f>IF(TRIM(H85)&lt;&gt;"",COUNTA(H$9:$H85)&amp;"","")</f>
        <v>67</v>
      </c>
      <c r="B85" s="84" t="s">
        <v>348</v>
      </c>
      <c r="C85" s="84" t="s">
        <v>347</v>
      </c>
      <c r="D85" s="85"/>
      <c r="E85" s="97" t="s">
        <v>349</v>
      </c>
      <c r="F85" s="87">
        <v>3078</v>
      </c>
      <c r="G85" s="64">
        <f>4.67*25*2+7.67*2+5.34*5+11.67*120*2</f>
        <v>3076.34</v>
      </c>
      <c r="H85" s="88" t="s">
        <v>175</v>
      </c>
      <c r="I85" s="89">
        <f t="shared" si="81"/>
        <v>0</v>
      </c>
      <c r="J85" s="90">
        <f t="shared" si="82"/>
        <v>3078</v>
      </c>
      <c r="K85" s="91">
        <f t="shared" si="83"/>
        <v>0</v>
      </c>
      <c r="L85" s="92">
        <f t="shared" si="84"/>
        <v>0</v>
      </c>
      <c r="M85" s="93">
        <f t="shared" si="85"/>
        <v>0</v>
      </c>
      <c r="N85" s="94">
        <f t="shared" si="86"/>
        <v>0</v>
      </c>
      <c r="O85" s="94">
        <f t="shared" si="87"/>
        <v>0</v>
      </c>
      <c r="P85" s="92">
        <f t="shared" si="88"/>
        <v>0</v>
      </c>
      <c r="Q85" s="95">
        <f t="shared" si="89"/>
        <v>0</v>
      </c>
      <c r="R85" s="96"/>
    </row>
    <row r="86" spans="1:18" ht="15" thickBot="1" x14ac:dyDescent="0.35">
      <c r="A86" s="83" t="str">
        <f>IF(TRIM(H86)&lt;&gt;"",COUNTA(H$9:$H86)&amp;"","")</f>
        <v/>
      </c>
      <c r="B86" s="98"/>
      <c r="C86" s="98"/>
      <c r="D86" s="85"/>
      <c r="E86" s="99"/>
      <c r="F86" s="87"/>
      <c r="H86" s="88"/>
      <c r="I86" s="89" t="str">
        <f t="shared" si="81"/>
        <v/>
      </c>
      <c r="J86" s="90" t="str">
        <f t="shared" si="82"/>
        <v/>
      </c>
      <c r="K86" s="91" t="str">
        <f t="shared" si="83"/>
        <v/>
      </c>
      <c r="L86" s="92" t="str">
        <f t="shared" si="84"/>
        <v/>
      </c>
      <c r="M86" s="93" t="str">
        <f t="shared" si="85"/>
        <v/>
      </c>
      <c r="N86" s="94" t="str">
        <f t="shared" si="86"/>
        <v/>
      </c>
      <c r="O86" s="94" t="str">
        <f t="shared" si="87"/>
        <v/>
      </c>
      <c r="P86" s="92" t="str">
        <f t="shared" si="88"/>
        <v/>
      </c>
      <c r="Q86" s="95" t="str">
        <f t="shared" si="89"/>
        <v/>
      </c>
      <c r="R86" s="96"/>
    </row>
    <row r="87" spans="1:18" s="111" customFormat="1" ht="16.2" thickBot="1" x14ac:dyDescent="0.35">
      <c r="A87" s="83" t="str">
        <f>IF(TRIM(H87)&lt;&gt;"",COUNTA(H$9:$H87)&amp;"","")</f>
        <v/>
      </c>
      <c r="B87" s="100"/>
      <c r="C87" s="100"/>
      <c r="D87" s="101"/>
      <c r="E87" s="102"/>
      <c r="F87" s="103"/>
      <c r="H87" s="104"/>
      <c r="I87" s="105" t="s">
        <v>12</v>
      </c>
      <c r="J87" s="106"/>
      <c r="K87" s="107">
        <f>SUM(L$79:L$86)</f>
        <v>0</v>
      </c>
      <c r="L87" s="211" t="s">
        <v>13</v>
      </c>
      <c r="M87" s="212"/>
      <c r="N87" s="108">
        <f>SUM(P$79:P$86)</f>
        <v>0</v>
      </c>
      <c r="O87" s="211" t="s">
        <v>42</v>
      </c>
      <c r="P87" s="212"/>
      <c r="Q87" s="109">
        <f>SUM(O$79:O$86)</f>
        <v>0</v>
      </c>
      <c r="R87" s="110">
        <f>SUM(Q$79:Q$86)</f>
        <v>0</v>
      </c>
    </row>
    <row r="88" spans="1:18" s="164" customFormat="1" ht="20.100000000000001" customHeight="1" x14ac:dyDescent="0.3">
      <c r="A88" s="160" t="str">
        <f>IF(TRIM(H88)&lt;&gt;"",COUNTA(H$9:$H88)&amp;"","")</f>
        <v/>
      </c>
      <c r="B88" s="161"/>
      <c r="C88" s="161"/>
      <c r="D88" s="162">
        <v>40000</v>
      </c>
      <c r="E88" s="162" t="s">
        <v>116</v>
      </c>
      <c r="F88" s="163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5"/>
    </row>
    <row r="89" spans="1:18" s="113" customFormat="1" ht="19.2" customHeight="1" x14ac:dyDescent="0.3">
      <c r="A89" s="83" t="str">
        <f>IF(TRIM(H89)&lt;&gt;"",COUNTA(H$9:$H89)&amp;"","")</f>
        <v/>
      </c>
      <c r="B89" s="112"/>
      <c r="C89" s="112"/>
      <c r="D89" s="85"/>
      <c r="E89" s="158" t="s">
        <v>70</v>
      </c>
      <c r="F89" s="87"/>
      <c r="H89" s="88"/>
      <c r="I89" s="89" t="str">
        <f t="shared" ref="I89:I95" si="90">IF(F89=0,"",0)</f>
        <v/>
      </c>
      <c r="J89" s="90" t="str">
        <f t="shared" ref="J89:J95" si="91">IF(F89=0,"",F89+(F89*I89))</f>
        <v/>
      </c>
      <c r="K89" s="91" t="str">
        <f t="shared" ref="K89:K95" si="92">IF(F89=0,"",0)</f>
        <v/>
      </c>
      <c r="L89" s="92" t="str">
        <f t="shared" ref="L89:L95" si="93">IF(F89=0,"",K89*J89)</f>
        <v/>
      </c>
      <c r="M89" s="93" t="str">
        <f t="shared" ref="M89:M95" si="94">IF(F89=0,"",M$7)</f>
        <v/>
      </c>
      <c r="N89" s="94" t="str">
        <f t="shared" ref="N89:N95" si="95">IF(F89=0,"",0)</f>
        <v/>
      </c>
      <c r="O89" s="94" t="str">
        <f t="shared" ref="O89:O95" si="96">IF(F89=0,"",N89*J89)</f>
        <v/>
      </c>
      <c r="P89" s="92" t="str">
        <f t="shared" ref="P89:P95" si="97">IF(F89=0,"",O89*M89)</f>
        <v/>
      </c>
      <c r="Q89" s="95" t="str">
        <f t="shared" ref="Q89:Q95" si="98">IF(F89=0,"",L89+P89)</f>
        <v/>
      </c>
      <c r="R89" s="96"/>
    </row>
    <row r="90" spans="1:18" x14ac:dyDescent="0.3">
      <c r="A90" s="83" t="str">
        <f>IF(TRIM(H90)&lt;&gt;"",COUNTA(H$9:$H90)&amp;"","")</f>
        <v>68</v>
      </c>
      <c r="B90" s="84" t="s">
        <v>350</v>
      </c>
      <c r="C90" s="84" t="s">
        <v>351</v>
      </c>
      <c r="D90" s="85"/>
      <c r="E90" s="97" t="s">
        <v>352</v>
      </c>
      <c r="F90" s="87">
        <v>1760</v>
      </c>
      <c r="G90" s="64">
        <f>105*12+8*10+31*12+7.34*5.34+7</f>
        <v>1758.1956</v>
      </c>
      <c r="H90" s="88" t="s">
        <v>147</v>
      </c>
      <c r="I90" s="89">
        <f t="shared" si="90"/>
        <v>0</v>
      </c>
      <c r="J90" s="90">
        <f t="shared" si="91"/>
        <v>1760</v>
      </c>
      <c r="K90" s="91">
        <f t="shared" si="92"/>
        <v>0</v>
      </c>
      <c r="L90" s="92">
        <f t="shared" si="93"/>
        <v>0</v>
      </c>
      <c r="M90" s="93">
        <f t="shared" si="94"/>
        <v>0</v>
      </c>
      <c r="N90" s="94">
        <f t="shared" si="95"/>
        <v>0</v>
      </c>
      <c r="O90" s="94">
        <f t="shared" si="96"/>
        <v>0</v>
      </c>
      <c r="P90" s="92">
        <f t="shared" si="97"/>
        <v>0</v>
      </c>
      <c r="Q90" s="95">
        <f t="shared" si="98"/>
        <v>0</v>
      </c>
      <c r="R90" s="96"/>
    </row>
    <row r="91" spans="1:18" s="113" customFormat="1" ht="19.2" customHeight="1" x14ac:dyDescent="0.3">
      <c r="A91" s="83" t="str">
        <f>IF(TRIM(H91)&lt;&gt;"",COUNTA(H$9:$H91)&amp;"","")</f>
        <v/>
      </c>
      <c r="B91" s="112"/>
      <c r="C91" s="112"/>
      <c r="D91" s="85"/>
      <c r="E91" s="158" t="s">
        <v>71</v>
      </c>
      <c r="F91" s="87"/>
      <c r="H91" s="88"/>
      <c r="I91" s="89" t="str">
        <f t="shared" si="90"/>
        <v/>
      </c>
      <c r="J91" s="90" t="str">
        <f t="shared" si="91"/>
        <v/>
      </c>
      <c r="K91" s="91" t="str">
        <f t="shared" si="92"/>
        <v/>
      </c>
      <c r="L91" s="92" t="str">
        <f t="shared" si="93"/>
        <v/>
      </c>
      <c r="M91" s="93" t="str">
        <f t="shared" si="94"/>
        <v/>
      </c>
      <c r="N91" s="94" t="str">
        <f t="shared" si="95"/>
        <v/>
      </c>
      <c r="O91" s="94" t="str">
        <f t="shared" si="96"/>
        <v/>
      </c>
      <c r="P91" s="92" t="str">
        <f t="shared" si="97"/>
        <v/>
      </c>
      <c r="Q91" s="95" t="str">
        <f t="shared" si="98"/>
        <v/>
      </c>
      <c r="R91" s="96"/>
    </row>
    <row r="92" spans="1:18" ht="55.2" x14ac:dyDescent="0.3">
      <c r="A92" s="83" t="str">
        <f>IF(TRIM(H92)&lt;&gt;"",COUNTA(H$9:$H92)&amp;"","")</f>
        <v>69</v>
      </c>
      <c r="B92" s="84" t="s">
        <v>372</v>
      </c>
      <c r="C92" s="84" t="s">
        <v>373</v>
      </c>
      <c r="D92" s="85"/>
      <c r="E92" s="97" t="s">
        <v>374</v>
      </c>
      <c r="F92" s="87">
        <v>50</v>
      </c>
      <c r="G92" s="64">
        <f>7.34*5.34+7</f>
        <v>46.195599999999999</v>
      </c>
      <c r="H92" s="88" t="s">
        <v>147</v>
      </c>
      <c r="I92" s="89">
        <f t="shared" si="90"/>
        <v>0</v>
      </c>
      <c r="J92" s="90">
        <f t="shared" si="91"/>
        <v>50</v>
      </c>
      <c r="K92" s="91">
        <f t="shared" si="92"/>
        <v>0</v>
      </c>
      <c r="L92" s="92">
        <f t="shared" si="93"/>
        <v>0</v>
      </c>
      <c r="M92" s="93">
        <f t="shared" si="94"/>
        <v>0</v>
      </c>
      <c r="N92" s="94">
        <f t="shared" si="95"/>
        <v>0</v>
      </c>
      <c r="O92" s="94">
        <f t="shared" si="96"/>
        <v>0</v>
      </c>
      <c r="P92" s="92">
        <f t="shared" si="97"/>
        <v>0</v>
      </c>
      <c r="Q92" s="95">
        <f t="shared" si="98"/>
        <v>0</v>
      </c>
      <c r="R92" s="96"/>
    </row>
    <row r="93" spans="1:18" s="113" customFormat="1" ht="19.2" customHeight="1" x14ac:dyDescent="0.3">
      <c r="A93" s="83" t="str">
        <f>IF(TRIM(H93)&lt;&gt;"",COUNTA(H$9:$H93)&amp;"","")</f>
        <v/>
      </c>
      <c r="B93" s="112"/>
      <c r="C93" s="112"/>
      <c r="D93" s="85"/>
      <c r="E93" s="158" t="s">
        <v>72</v>
      </c>
      <c r="F93" s="87"/>
      <c r="H93" s="88"/>
      <c r="I93" s="89" t="str">
        <f t="shared" si="90"/>
        <v/>
      </c>
      <c r="J93" s="90" t="str">
        <f t="shared" si="91"/>
        <v/>
      </c>
      <c r="K93" s="91" t="str">
        <f t="shared" si="92"/>
        <v/>
      </c>
      <c r="L93" s="92" t="str">
        <f t="shared" si="93"/>
        <v/>
      </c>
      <c r="M93" s="93" t="str">
        <f t="shared" si="94"/>
        <v/>
      </c>
      <c r="N93" s="94" t="str">
        <f t="shared" si="95"/>
        <v/>
      </c>
      <c r="O93" s="94" t="str">
        <f t="shared" si="96"/>
        <v/>
      </c>
      <c r="P93" s="92" t="str">
        <f t="shared" si="97"/>
        <v/>
      </c>
      <c r="Q93" s="95" t="str">
        <f t="shared" si="98"/>
        <v/>
      </c>
      <c r="R93" s="96"/>
    </row>
    <row r="94" spans="1:18" x14ac:dyDescent="0.3">
      <c r="A94" s="83" t="str">
        <f>IF(TRIM(H94)&lt;&gt;"",COUNTA(H$9:$H94)&amp;"","")</f>
        <v>70</v>
      </c>
      <c r="B94" s="84" t="s">
        <v>372</v>
      </c>
      <c r="C94" s="84" t="s">
        <v>375</v>
      </c>
      <c r="D94" s="85"/>
      <c r="E94" s="97" t="s">
        <v>376</v>
      </c>
      <c r="F94" s="87">
        <v>19</v>
      </c>
      <c r="H94" s="88" t="s">
        <v>175</v>
      </c>
      <c r="I94" s="89">
        <f t="shared" si="90"/>
        <v>0</v>
      </c>
      <c r="J94" s="90">
        <f t="shared" si="91"/>
        <v>19</v>
      </c>
      <c r="K94" s="91">
        <f t="shared" si="92"/>
        <v>0</v>
      </c>
      <c r="L94" s="92">
        <f t="shared" si="93"/>
        <v>0</v>
      </c>
      <c r="M94" s="93">
        <f t="shared" si="94"/>
        <v>0</v>
      </c>
      <c r="N94" s="94">
        <f t="shared" si="95"/>
        <v>0</v>
      </c>
      <c r="O94" s="94">
        <f t="shared" si="96"/>
        <v>0</v>
      </c>
      <c r="P94" s="92">
        <f t="shared" si="97"/>
        <v>0</v>
      </c>
      <c r="Q94" s="95">
        <f t="shared" si="98"/>
        <v>0</v>
      </c>
      <c r="R94" s="96"/>
    </row>
    <row r="95" spans="1:18" ht="15" thickBot="1" x14ac:dyDescent="0.35">
      <c r="A95" s="83" t="str">
        <f>IF(TRIM(H95)&lt;&gt;"",COUNTA(H$9:$H95)&amp;"","")</f>
        <v/>
      </c>
      <c r="B95" s="98"/>
      <c r="C95" s="98"/>
      <c r="D95" s="85"/>
      <c r="E95" s="99"/>
      <c r="F95" s="87"/>
      <c r="H95" s="88"/>
      <c r="I95" s="89" t="str">
        <f t="shared" si="90"/>
        <v/>
      </c>
      <c r="J95" s="90" t="str">
        <f t="shared" si="91"/>
        <v/>
      </c>
      <c r="K95" s="91" t="str">
        <f t="shared" si="92"/>
        <v/>
      </c>
      <c r="L95" s="92" t="str">
        <f t="shared" si="93"/>
        <v/>
      </c>
      <c r="M95" s="93" t="str">
        <f t="shared" si="94"/>
        <v/>
      </c>
      <c r="N95" s="94" t="str">
        <f t="shared" si="95"/>
        <v/>
      </c>
      <c r="O95" s="94" t="str">
        <f t="shared" si="96"/>
        <v/>
      </c>
      <c r="P95" s="92" t="str">
        <f t="shared" si="97"/>
        <v/>
      </c>
      <c r="Q95" s="95" t="str">
        <f t="shared" si="98"/>
        <v/>
      </c>
      <c r="R95" s="96"/>
    </row>
    <row r="96" spans="1:18" s="111" customFormat="1" ht="16.2" thickBot="1" x14ac:dyDescent="0.35">
      <c r="A96" s="83" t="str">
        <f>IF(TRIM(H96)&lt;&gt;"",COUNTA(H$9:$H96)&amp;"","")</f>
        <v/>
      </c>
      <c r="B96" s="100"/>
      <c r="C96" s="100"/>
      <c r="D96" s="101"/>
      <c r="E96" s="102"/>
      <c r="F96" s="103"/>
      <c r="H96" s="104"/>
      <c r="I96" s="105" t="s">
        <v>12</v>
      </c>
      <c r="J96" s="106"/>
      <c r="K96" s="107">
        <f>SUM(L$88:L$95)</f>
        <v>0</v>
      </c>
      <c r="L96" s="211" t="s">
        <v>13</v>
      </c>
      <c r="M96" s="212"/>
      <c r="N96" s="108">
        <f>SUM(P$88:P$95)</f>
        <v>0</v>
      </c>
      <c r="O96" s="211" t="s">
        <v>42</v>
      </c>
      <c r="P96" s="212"/>
      <c r="Q96" s="109">
        <f>SUM(O$88:O$95)</f>
        <v>0</v>
      </c>
      <c r="R96" s="110">
        <f>SUM(Q$88:Q$95)</f>
        <v>0</v>
      </c>
    </row>
    <row r="97" spans="1:18" s="164" customFormat="1" ht="20.100000000000001" customHeight="1" x14ac:dyDescent="0.3">
      <c r="A97" s="160" t="str">
        <f>IF(TRIM(H97)&lt;&gt;"",COUNTA(H$9:$H97)&amp;"","")</f>
        <v/>
      </c>
      <c r="B97" s="161"/>
      <c r="C97" s="161"/>
      <c r="D97" s="162">
        <v>50000</v>
      </c>
      <c r="E97" s="162" t="s">
        <v>73</v>
      </c>
      <c r="F97" s="163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5"/>
    </row>
    <row r="98" spans="1:18" s="113" customFormat="1" ht="19.2" customHeight="1" x14ac:dyDescent="0.3">
      <c r="A98" s="83" t="str">
        <f>IF(TRIM(H98)&lt;&gt;"",COUNTA(H$9:$H98)&amp;"","")</f>
        <v/>
      </c>
      <c r="B98" s="112"/>
      <c r="C98" s="112"/>
      <c r="D98" s="85"/>
      <c r="E98" s="157" t="s">
        <v>74</v>
      </c>
      <c r="F98" s="87"/>
      <c r="H98" s="88"/>
      <c r="I98" s="89" t="str">
        <f t="shared" ref="I98:I110" si="99">IF(F98=0,"",0)</f>
        <v/>
      </c>
      <c r="J98" s="90" t="str">
        <f t="shared" ref="J98:J110" si="100">IF(F98=0,"",F98+(F98*I98))</f>
        <v/>
      </c>
      <c r="K98" s="91" t="str">
        <f t="shared" ref="K98:K110" si="101">IF(F98=0,"",0)</f>
        <v/>
      </c>
      <c r="L98" s="92" t="str">
        <f t="shared" ref="L98:L110" si="102">IF(F98=0,"",K98*J98)</f>
        <v/>
      </c>
      <c r="M98" s="93" t="str">
        <f t="shared" ref="M98:M110" si="103">IF(F98=0,"",M$7)</f>
        <v/>
      </c>
      <c r="N98" s="94" t="str">
        <f t="shared" ref="N98:N110" si="104">IF(F98=0,"",0)</f>
        <v/>
      </c>
      <c r="O98" s="94" t="str">
        <f t="shared" ref="O98:O110" si="105">IF(F98=0,"",N98*J98)</f>
        <v/>
      </c>
      <c r="P98" s="92" t="str">
        <f t="shared" ref="P98:P110" si="106">IF(F98=0,"",O98*M98)</f>
        <v/>
      </c>
      <c r="Q98" s="95" t="str">
        <f t="shared" ref="Q98:Q110" si="107">IF(F98=0,"",L98+P98)</f>
        <v/>
      </c>
      <c r="R98" s="96"/>
    </row>
    <row r="99" spans="1:18" x14ac:dyDescent="0.3">
      <c r="A99" s="83" t="str">
        <f>IF(TRIM(H99)&lt;&gt;"",COUNTA(H$9:$H99)&amp;"","")</f>
        <v>71</v>
      </c>
      <c r="B99" s="84" t="s">
        <v>412</v>
      </c>
      <c r="C99" s="84" t="s">
        <v>416</v>
      </c>
      <c r="D99" s="85"/>
      <c r="E99" s="86" t="s">
        <v>415</v>
      </c>
      <c r="F99" s="87">
        <v>110</v>
      </c>
      <c r="H99" s="88" t="s">
        <v>147</v>
      </c>
      <c r="I99" s="89">
        <f t="shared" si="99"/>
        <v>0</v>
      </c>
      <c r="J99" s="90">
        <f t="shared" si="100"/>
        <v>110</v>
      </c>
      <c r="K99" s="91">
        <f t="shared" si="101"/>
        <v>0</v>
      </c>
      <c r="L99" s="92">
        <f t="shared" si="102"/>
        <v>0</v>
      </c>
      <c r="M99" s="93">
        <f t="shared" si="103"/>
        <v>0</v>
      </c>
      <c r="N99" s="94">
        <f t="shared" si="104"/>
        <v>0</v>
      </c>
      <c r="O99" s="94">
        <f t="shared" si="105"/>
        <v>0</v>
      </c>
      <c r="P99" s="92">
        <f t="shared" si="106"/>
        <v>0</v>
      </c>
      <c r="Q99" s="95">
        <f t="shared" si="107"/>
        <v>0</v>
      </c>
      <c r="R99" s="96"/>
    </row>
    <row r="100" spans="1:18" ht="27.6" x14ac:dyDescent="0.3">
      <c r="A100" s="83" t="str">
        <f>IF(TRIM(H100)&lt;&gt;"",COUNTA(H$9:$H100)&amp;"","")</f>
        <v>72</v>
      </c>
      <c r="B100" s="84" t="s">
        <v>424</v>
      </c>
      <c r="C100" s="84" t="s">
        <v>334</v>
      </c>
      <c r="D100" s="85"/>
      <c r="E100" s="86" t="s">
        <v>423</v>
      </c>
      <c r="F100" s="87">
        <v>27</v>
      </c>
      <c r="H100" s="88" t="s">
        <v>175</v>
      </c>
      <c r="I100" s="89">
        <f t="shared" si="99"/>
        <v>0</v>
      </c>
      <c r="J100" s="90">
        <f t="shared" si="100"/>
        <v>27</v>
      </c>
      <c r="K100" s="91">
        <f t="shared" si="101"/>
        <v>0</v>
      </c>
      <c r="L100" s="92">
        <f t="shared" si="102"/>
        <v>0</v>
      </c>
      <c r="M100" s="93">
        <f t="shared" si="103"/>
        <v>0</v>
      </c>
      <c r="N100" s="94">
        <f t="shared" si="104"/>
        <v>0</v>
      </c>
      <c r="O100" s="94">
        <f t="shared" si="105"/>
        <v>0</v>
      </c>
      <c r="P100" s="92">
        <f t="shared" si="106"/>
        <v>0</v>
      </c>
      <c r="Q100" s="95">
        <f t="shared" si="107"/>
        <v>0</v>
      </c>
      <c r="R100" s="96"/>
    </row>
    <row r="101" spans="1:18" s="113" customFormat="1" ht="19.2" customHeight="1" x14ac:dyDescent="0.3">
      <c r="A101" s="83" t="str">
        <f>IF(TRIM(H101)&lt;&gt;"",COUNTA(H$9:$H101)&amp;"","")</f>
        <v/>
      </c>
      <c r="B101" s="112"/>
      <c r="C101" s="112"/>
      <c r="D101" s="85"/>
      <c r="E101" s="157" t="s">
        <v>75</v>
      </c>
      <c r="F101" s="87"/>
      <c r="H101" s="88"/>
      <c r="I101" s="89" t="str">
        <f t="shared" si="99"/>
        <v/>
      </c>
      <c r="J101" s="90" t="str">
        <f t="shared" si="100"/>
        <v/>
      </c>
      <c r="K101" s="91" t="str">
        <f t="shared" si="101"/>
        <v/>
      </c>
      <c r="L101" s="92" t="str">
        <f t="shared" si="102"/>
        <v/>
      </c>
      <c r="M101" s="93" t="str">
        <f t="shared" si="103"/>
        <v/>
      </c>
      <c r="N101" s="94" t="str">
        <f t="shared" si="104"/>
        <v/>
      </c>
      <c r="O101" s="94" t="str">
        <f t="shared" si="105"/>
        <v/>
      </c>
      <c r="P101" s="92" t="str">
        <f t="shared" si="106"/>
        <v/>
      </c>
      <c r="Q101" s="95" t="str">
        <f t="shared" si="107"/>
        <v/>
      </c>
      <c r="R101" s="96"/>
    </row>
    <row r="102" spans="1:18" x14ac:dyDescent="0.3">
      <c r="A102" s="83" t="str">
        <f>IF(TRIM(H102)&lt;&gt;"",COUNTA(H$9:$H102)&amp;"","")</f>
        <v>73</v>
      </c>
      <c r="B102" s="84" t="s">
        <v>348</v>
      </c>
      <c r="C102" s="84" t="s">
        <v>531</v>
      </c>
      <c r="D102" s="85"/>
      <c r="E102" s="97" t="s">
        <v>407</v>
      </c>
      <c r="F102" s="87">
        <v>13</v>
      </c>
      <c r="H102" s="88" t="s">
        <v>232</v>
      </c>
      <c r="I102" s="89">
        <f t="shared" si="99"/>
        <v>0</v>
      </c>
      <c r="J102" s="90">
        <f t="shared" si="100"/>
        <v>13</v>
      </c>
      <c r="K102" s="91">
        <f t="shared" si="101"/>
        <v>0</v>
      </c>
      <c r="L102" s="92">
        <f t="shared" si="102"/>
        <v>0</v>
      </c>
      <c r="M102" s="93">
        <f t="shared" si="103"/>
        <v>0</v>
      </c>
      <c r="N102" s="94">
        <f t="shared" si="104"/>
        <v>0</v>
      </c>
      <c r="O102" s="94">
        <f t="shared" si="105"/>
        <v>0</v>
      </c>
      <c r="P102" s="92">
        <f t="shared" si="106"/>
        <v>0</v>
      </c>
      <c r="Q102" s="95">
        <f t="shared" si="107"/>
        <v>0</v>
      </c>
      <c r="R102" s="96"/>
    </row>
    <row r="103" spans="1:18" x14ac:dyDescent="0.3">
      <c r="A103" s="83" t="str">
        <f>IF(TRIM(H103)&lt;&gt;"",COUNTA(H$9:$H103)&amp;"","")</f>
        <v>74</v>
      </c>
      <c r="B103" s="84" t="s">
        <v>348</v>
      </c>
      <c r="C103" s="84" t="s">
        <v>532</v>
      </c>
      <c r="D103" s="85"/>
      <c r="E103" s="97" t="s">
        <v>406</v>
      </c>
      <c r="F103" s="87">
        <v>6</v>
      </c>
      <c r="H103" s="88" t="s">
        <v>232</v>
      </c>
      <c r="I103" s="89">
        <f t="shared" si="99"/>
        <v>0</v>
      </c>
      <c r="J103" s="90">
        <f t="shared" si="100"/>
        <v>6</v>
      </c>
      <c r="K103" s="91">
        <f t="shared" si="101"/>
        <v>0</v>
      </c>
      <c r="L103" s="92">
        <f t="shared" si="102"/>
        <v>0</v>
      </c>
      <c r="M103" s="93">
        <f t="shared" si="103"/>
        <v>0</v>
      </c>
      <c r="N103" s="94">
        <f t="shared" si="104"/>
        <v>0</v>
      </c>
      <c r="O103" s="94">
        <f t="shared" si="105"/>
        <v>0</v>
      </c>
      <c r="P103" s="92">
        <f t="shared" si="106"/>
        <v>0</v>
      </c>
      <c r="Q103" s="95">
        <f t="shared" si="107"/>
        <v>0</v>
      </c>
      <c r="R103" s="96"/>
    </row>
    <row r="104" spans="1:18" x14ac:dyDescent="0.3">
      <c r="A104" s="83" t="str">
        <f>IF(TRIM(H104)&lt;&gt;"",COUNTA(H$9:$H104)&amp;"","")</f>
        <v>75</v>
      </c>
      <c r="B104" s="84" t="s">
        <v>530</v>
      </c>
      <c r="C104" s="84" t="s">
        <v>533</v>
      </c>
      <c r="D104" s="85"/>
      <c r="E104" s="97" t="s">
        <v>529</v>
      </c>
      <c r="F104" s="87">
        <v>3</v>
      </c>
      <c r="H104" s="88" t="s">
        <v>232</v>
      </c>
      <c r="I104" s="89">
        <f t="shared" ref="I104" si="108">IF(F104=0,"",0)</f>
        <v>0</v>
      </c>
      <c r="J104" s="90">
        <f t="shared" ref="J104" si="109">IF(F104=0,"",F104+(F104*I104))</f>
        <v>3</v>
      </c>
      <c r="K104" s="91">
        <f t="shared" ref="K104" si="110">IF(F104=0,"",0)</f>
        <v>0</v>
      </c>
      <c r="L104" s="92">
        <f t="shared" ref="L104" si="111">IF(F104=0,"",K104*J104)</f>
        <v>0</v>
      </c>
      <c r="M104" s="93">
        <f t="shared" ref="M104" si="112">IF(F104=0,"",M$7)</f>
        <v>0</v>
      </c>
      <c r="N104" s="94">
        <f t="shared" ref="N104" si="113">IF(F104=0,"",0)</f>
        <v>0</v>
      </c>
      <c r="O104" s="94">
        <f t="shared" ref="O104" si="114">IF(F104=0,"",N104*J104)</f>
        <v>0</v>
      </c>
      <c r="P104" s="92">
        <f t="shared" ref="P104" si="115">IF(F104=0,"",O104*M104)</f>
        <v>0</v>
      </c>
      <c r="Q104" s="95">
        <f t="shared" ref="Q104" si="116">IF(F104=0,"",L104+P104)</f>
        <v>0</v>
      </c>
      <c r="R104" s="96"/>
    </row>
    <row r="105" spans="1:18" x14ac:dyDescent="0.3">
      <c r="A105" s="83" t="str">
        <f>IF(TRIM(H105)&lt;&gt;"",COUNTA(H$9:$H105)&amp;"","")</f>
        <v>76</v>
      </c>
      <c r="B105" s="84" t="s">
        <v>372</v>
      </c>
      <c r="C105" s="84" t="s">
        <v>398</v>
      </c>
      <c r="D105" s="85"/>
      <c r="E105" s="97" t="s">
        <v>397</v>
      </c>
      <c r="F105" s="87">
        <v>1</v>
      </c>
      <c r="H105" s="88" t="s">
        <v>232</v>
      </c>
      <c r="I105" s="89">
        <f t="shared" si="99"/>
        <v>0</v>
      </c>
      <c r="J105" s="90">
        <f t="shared" si="100"/>
        <v>1</v>
      </c>
      <c r="K105" s="91">
        <f t="shared" si="101"/>
        <v>0</v>
      </c>
      <c r="L105" s="92">
        <f t="shared" si="102"/>
        <v>0</v>
      </c>
      <c r="M105" s="93">
        <f t="shared" si="103"/>
        <v>0</v>
      </c>
      <c r="N105" s="94">
        <f t="shared" si="104"/>
        <v>0</v>
      </c>
      <c r="O105" s="94">
        <f t="shared" si="105"/>
        <v>0</v>
      </c>
      <c r="P105" s="92">
        <f t="shared" si="106"/>
        <v>0</v>
      </c>
      <c r="Q105" s="95">
        <f t="shared" si="107"/>
        <v>0</v>
      </c>
      <c r="R105" s="96"/>
    </row>
    <row r="106" spans="1:18" x14ac:dyDescent="0.3">
      <c r="A106" s="83" t="str">
        <f>IF(TRIM(H106)&lt;&gt;"",COUNTA(H$9:$H106)&amp;"","")</f>
        <v>77</v>
      </c>
      <c r="B106" s="84"/>
      <c r="C106" s="84"/>
      <c r="D106" s="85"/>
      <c r="E106" s="97" t="s">
        <v>399</v>
      </c>
      <c r="F106" s="87">
        <v>1</v>
      </c>
      <c r="H106" s="88" t="s">
        <v>232</v>
      </c>
      <c r="I106" s="89">
        <f t="shared" ref="I106:I108" si="117">IF(F106=0,"",0)</f>
        <v>0</v>
      </c>
      <c r="J106" s="90">
        <f t="shared" ref="J106:J108" si="118">IF(F106=0,"",F106+(F106*I106))</f>
        <v>1</v>
      </c>
      <c r="K106" s="91">
        <f t="shared" ref="K106:K108" si="119">IF(F106=0,"",0)</f>
        <v>0</v>
      </c>
      <c r="L106" s="92">
        <f t="shared" ref="L106:L108" si="120">IF(F106=0,"",K106*J106)</f>
        <v>0</v>
      </c>
      <c r="M106" s="93">
        <f t="shared" ref="M106:M108" si="121">IF(F106=0,"",M$7)</f>
        <v>0</v>
      </c>
      <c r="N106" s="94">
        <f t="shared" ref="N106:N108" si="122">IF(F106=0,"",0)</f>
        <v>0</v>
      </c>
      <c r="O106" s="94">
        <f t="shared" ref="O106:O108" si="123">IF(F106=0,"",N106*J106)</f>
        <v>0</v>
      </c>
      <c r="P106" s="92">
        <f t="shared" ref="P106:P108" si="124">IF(F106=0,"",O106*M106)</f>
        <v>0</v>
      </c>
      <c r="Q106" s="95">
        <f t="shared" ref="Q106:Q108" si="125">IF(F106=0,"",L106+P106)</f>
        <v>0</v>
      </c>
      <c r="R106" s="96"/>
    </row>
    <row r="107" spans="1:18" x14ac:dyDescent="0.3">
      <c r="A107" s="83" t="str">
        <f>IF(TRIM(H107)&lt;&gt;"",COUNTA(H$9:$H107)&amp;"","")</f>
        <v>78</v>
      </c>
      <c r="B107" s="84"/>
      <c r="C107" s="84"/>
      <c r="D107" s="85"/>
      <c r="E107" s="97" t="s">
        <v>400</v>
      </c>
      <c r="F107" s="87">
        <v>1</v>
      </c>
      <c r="H107" s="88" t="s">
        <v>232</v>
      </c>
      <c r="I107" s="89">
        <f t="shared" si="117"/>
        <v>0</v>
      </c>
      <c r="J107" s="90">
        <f t="shared" si="118"/>
        <v>1</v>
      </c>
      <c r="K107" s="91">
        <f t="shared" si="119"/>
        <v>0</v>
      </c>
      <c r="L107" s="92">
        <f t="shared" si="120"/>
        <v>0</v>
      </c>
      <c r="M107" s="93">
        <f t="shared" si="121"/>
        <v>0</v>
      </c>
      <c r="N107" s="94">
        <f t="shared" si="122"/>
        <v>0</v>
      </c>
      <c r="O107" s="94">
        <f t="shared" si="123"/>
        <v>0</v>
      </c>
      <c r="P107" s="92">
        <f t="shared" si="124"/>
        <v>0</v>
      </c>
      <c r="Q107" s="95">
        <f t="shared" si="125"/>
        <v>0</v>
      </c>
      <c r="R107" s="96"/>
    </row>
    <row r="108" spans="1:18" x14ac:dyDescent="0.3">
      <c r="A108" s="83" t="str">
        <f>IF(TRIM(H108)&lt;&gt;"",COUNTA(H$9:$H108)&amp;"","")</f>
        <v>79</v>
      </c>
      <c r="B108" s="84" t="s">
        <v>372</v>
      </c>
      <c r="C108" s="84" t="s">
        <v>375</v>
      </c>
      <c r="D108" s="85"/>
      <c r="E108" s="97" t="s">
        <v>408</v>
      </c>
      <c r="F108" s="87">
        <v>19</v>
      </c>
      <c r="H108" s="88" t="s">
        <v>175</v>
      </c>
      <c r="I108" s="89">
        <f t="shared" si="117"/>
        <v>0</v>
      </c>
      <c r="J108" s="90">
        <f t="shared" si="118"/>
        <v>19</v>
      </c>
      <c r="K108" s="91">
        <f t="shared" si="119"/>
        <v>0</v>
      </c>
      <c r="L108" s="92">
        <f t="shared" si="120"/>
        <v>0</v>
      </c>
      <c r="M108" s="93">
        <f t="shared" si="121"/>
        <v>0</v>
      </c>
      <c r="N108" s="94">
        <f t="shared" si="122"/>
        <v>0</v>
      </c>
      <c r="O108" s="94">
        <f t="shared" si="123"/>
        <v>0</v>
      </c>
      <c r="P108" s="92">
        <f t="shared" si="124"/>
        <v>0</v>
      </c>
      <c r="Q108" s="95">
        <f t="shared" si="125"/>
        <v>0</v>
      </c>
      <c r="R108" s="96"/>
    </row>
    <row r="109" spans="1:18" x14ac:dyDescent="0.3">
      <c r="A109" s="83" t="str">
        <f>IF(TRIM(H109)&lt;&gt;"",COUNTA(H$9:$H109)&amp;"","")</f>
        <v>80</v>
      </c>
      <c r="B109" s="84" t="s">
        <v>530</v>
      </c>
      <c r="C109" s="84" t="s">
        <v>535</v>
      </c>
      <c r="D109" s="85"/>
      <c r="E109" s="97" t="s">
        <v>534</v>
      </c>
      <c r="F109" s="87">
        <v>3</v>
      </c>
      <c r="H109" s="88" t="s">
        <v>232</v>
      </c>
      <c r="I109" s="89">
        <f t="shared" si="99"/>
        <v>0</v>
      </c>
      <c r="J109" s="90">
        <f t="shared" si="100"/>
        <v>3</v>
      </c>
      <c r="K109" s="91">
        <f t="shared" si="101"/>
        <v>0</v>
      </c>
      <c r="L109" s="92">
        <f t="shared" si="102"/>
        <v>0</v>
      </c>
      <c r="M109" s="93">
        <f t="shared" si="103"/>
        <v>0</v>
      </c>
      <c r="N109" s="94">
        <f t="shared" si="104"/>
        <v>0</v>
      </c>
      <c r="O109" s="94">
        <f t="shared" si="105"/>
        <v>0</v>
      </c>
      <c r="P109" s="92">
        <f t="shared" si="106"/>
        <v>0</v>
      </c>
      <c r="Q109" s="95">
        <f t="shared" si="107"/>
        <v>0</v>
      </c>
      <c r="R109" s="96"/>
    </row>
    <row r="110" spans="1:18" s="111" customFormat="1" ht="16.2" thickBot="1" x14ac:dyDescent="0.35">
      <c r="A110" s="83" t="str">
        <f>IF(TRIM(H110)&lt;&gt;"",COUNTA(H$9:$H110)&amp;"","")</f>
        <v/>
      </c>
      <c r="B110" s="100"/>
      <c r="C110" s="100"/>
      <c r="D110" s="101"/>
      <c r="E110" s="102"/>
      <c r="F110" s="87"/>
      <c r="H110" s="88"/>
      <c r="I110" s="89" t="str">
        <f t="shared" si="99"/>
        <v/>
      </c>
      <c r="J110" s="90" t="str">
        <f t="shared" si="100"/>
        <v/>
      </c>
      <c r="K110" s="91" t="str">
        <f t="shared" si="101"/>
        <v/>
      </c>
      <c r="L110" s="92" t="str">
        <f t="shared" si="102"/>
        <v/>
      </c>
      <c r="M110" s="93" t="str">
        <f t="shared" si="103"/>
        <v/>
      </c>
      <c r="N110" s="94" t="str">
        <f t="shared" si="104"/>
        <v/>
      </c>
      <c r="O110" s="94" t="str">
        <f t="shared" si="105"/>
        <v/>
      </c>
      <c r="P110" s="92" t="str">
        <f t="shared" si="106"/>
        <v/>
      </c>
      <c r="Q110" s="95" t="str">
        <f t="shared" si="107"/>
        <v/>
      </c>
      <c r="R110" s="96"/>
    </row>
    <row r="111" spans="1:18" s="111" customFormat="1" ht="16.2" thickBot="1" x14ac:dyDescent="0.35">
      <c r="A111" s="83" t="str">
        <f>IF(TRIM(H111)&lt;&gt;"",COUNTA(H$9:$H111)&amp;"","")</f>
        <v/>
      </c>
      <c r="B111" s="100"/>
      <c r="C111" s="100"/>
      <c r="D111" s="101"/>
      <c r="E111" s="102"/>
      <c r="F111" s="103"/>
      <c r="H111" s="104"/>
      <c r="I111" s="105" t="s">
        <v>12</v>
      </c>
      <c r="J111" s="106"/>
      <c r="K111" s="107">
        <f>SUM(L$97:L$110)</f>
        <v>0</v>
      </c>
      <c r="L111" s="211" t="s">
        <v>13</v>
      </c>
      <c r="M111" s="212"/>
      <c r="N111" s="107">
        <f>SUM(P$97:P$110)</f>
        <v>0</v>
      </c>
      <c r="O111" s="211" t="s">
        <v>42</v>
      </c>
      <c r="P111" s="212"/>
      <c r="Q111" s="109">
        <f>SUM(O$97:O$110)</f>
        <v>0</v>
      </c>
      <c r="R111" s="110">
        <f>SUM(Q$97:Q$110)</f>
        <v>0</v>
      </c>
    </row>
    <row r="112" spans="1:18" s="164" customFormat="1" ht="20.100000000000001" customHeight="1" x14ac:dyDescent="0.3">
      <c r="A112" s="160" t="str">
        <f>IF(TRIM(H112)&lt;&gt;"",COUNTA(H$9:$H112)&amp;"","")</f>
        <v/>
      </c>
      <c r="B112" s="161"/>
      <c r="C112" s="161"/>
      <c r="D112" s="162">
        <v>60000</v>
      </c>
      <c r="E112" s="162" t="s">
        <v>111</v>
      </c>
      <c r="F112" s="163"/>
      <c r="H112" s="161"/>
      <c r="I112" s="161" t="str">
        <f t="shared" ref="I112:I115" si="126">IF(F112=0,"",0)</f>
        <v/>
      </c>
      <c r="J112" s="161" t="str">
        <f t="shared" ref="J112:J115" si="127">IF(F112=0,"",F112+(F112*I112))</f>
        <v/>
      </c>
      <c r="K112" s="161" t="str">
        <f t="shared" ref="K112:K115" si="128">IF(F112=0,"",0)</f>
        <v/>
      </c>
      <c r="L112" s="161" t="str">
        <f t="shared" ref="L112:L115" si="129">IF(F112=0,"",K112*J112)</f>
        <v/>
      </c>
      <c r="M112" s="161" t="str">
        <f t="shared" ref="M112:M115" si="130">IF(F112=0,"",M$7)</f>
        <v/>
      </c>
      <c r="N112" s="161" t="str">
        <f t="shared" ref="N112:N115" si="131">IF(F112=0,"",0)</f>
        <v/>
      </c>
      <c r="O112" s="161" t="str">
        <f t="shared" ref="O112:O115" si="132">IF(F112=0,"",N112*J112)</f>
        <v/>
      </c>
      <c r="P112" s="161" t="str">
        <f t="shared" ref="P112:P115" si="133">IF(F112=0,"",O112*M112)</f>
        <v/>
      </c>
      <c r="Q112" s="161" t="str">
        <f t="shared" ref="Q112:Q115" si="134">IF(F112=0,"",L112+P112)</f>
        <v/>
      </c>
      <c r="R112" s="165"/>
    </row>
    <row r="113" spans="1:18" s="113" customFormat="1" ht="19.2" customHeight="1" x14ac:dyDescent="0.3">
      <c r="A113" s="83" t="str">
        <f>IF(TRIM(H113)&lt;&gt;"",COUNTA(H$9:$H113)&amp;"","")</f>
        <v/>
      </c>
      <c r="B113" s="112"/>
      <c r="C113" s="112"/>
      <c r="D113" s="85" t="s">
        <v>77</v>
      </c>
      <c r="E113" s="157" t="s">
        <v>76</v>
      </c>
      <c r="F113" s="87"/>
      <c r="H113" s="88"/>
      <c r="I113" s="89" t="str">
        <f t="shared" si="126"/>
        <v/>
      </c>
      <c r="J113" s="90" t="str">
        <f t="shared" si="127"/>
        <v/>
      </c>
      <c r="K113" s="91" t="str">
        <f t="shared" si="128"/>
        <v/>
      </c>
      <c r="L113" s="92" t="str">
        <f t="shared" si="129"/>
        <v/>
      </c>
      <c r="M113" s="93" t="str">
        <f t="shared" si="130"/>
        <v/>
      </c>
      <c r="N113" s="94" t="str">
        <f t="shared" si="131"/>
        <v/>
      </c>
      <c r="O113" s="94" t="str">
        <f t="shared" si="132"/>
        <v/>
      </c>
      <c r="P113" s="92" t="str">
        <f t="shared" si="133"/>
        <v/>
      </c>
      <c r="Q113" s="95" t="str">
        <f t="shared" si="134"/>
        <v/>
      </c>
      <c r="R113" s="96"/>
    </row>
    <row r="114" spans="1:18" x14ac:dyDescent="0.3">
      <c r="A114" s="83" t="str">
        <f>IF(TRIM(H114)&lt;&gt;"",COUNTA(H$9:$H114)&amp;"","")</f>
        <v>81</v>
      </c>
      <c r="B114" s="84"/>
      <c r="C114" s="84"/>
      <c r="D114" s="85"/>
      <c r="E114" s="86" t="s">
        <v>538</v>
      </c>
      <c r="F114" s="87">
        <v>1</v>
      </c>
      <c r="H114" s="88" t="s">
        <v>181</v>
      </c>
      <c r="I114" s="89">
        <f t="shared" si="126"/>
        <v>0</v>
      </c>
      <c r="J114" s="90">
        <f t="shared" si="127"/>
        <v>1</v>
      </c>
      <c r="K114" s="91">
        <f t="shared" si="128"/>
        <v>0</v>
      </c>
      <c r="L114" s="92">
        <f t="shared" si="129"/>
        <v>0</v>
      </c>
      <c r="M114" s="93">
        <f t="shared" si="130"/>
        <v>0</v>
      </c>
      <c r="N114" s="94">
        <f t="shared" si="131"/>
        <v>0</v>
      </c>
      <c r="O114" s="94">
        <f t="shared" si="132"/>
        <v>0</v>
      </c>
      <c r="P114" s="92">
        <f t="shared" si="133"/>
        <v>0</v>
      </c>
      <c r="Q114" s="95">
        <f t="shared" si="134"/>
        <v>0</v>
      </c>
      <c r="R114" s="96"/>
    </row>
    <row r="115" spans="1:18" ht="15" thickBot="1" x14ac:dyDescent="0.35">
      <c r="A115" s="83" t="str">
        <f>IF(TRIM(H115)&lt;&gt;"",COUNTA(H$9:$H115)&amp;"","")</f>
        <v/>
      </c>
      <c r="B115" s="98"/>
      <c r="C115" s="98"/>
      <c r="D115" s="85"/>
      <c r="E115" s="99"/>
      <c r="F115" s="87"/>
      <c r="H115" s="88"/>
      <c r="I115" s="89" t="str">
        <f t="shared" si="126"/>
        <v/>
      </c>
      <c r="J115" s="90" t="str">
        <f t="shared" si="127"/>
        <v/>
      </c>
      <c r="K115" s="91" t="str">
        <f t="shared" si="128"/>
        <v/>
      </c>
      <c r="L115" s="92" t="str">
        <f t="shared" si="129"/>
        <v/>
      </c>
      <c r="M115" s="93" t="str">
        <f t="shared" si="130"/>
        <v/>
      </c>
      <c r="N115" s="94" t="str">
        <f t="shared" si="131"/>
        <v/>
      </c>
      <c r="O115" s="94" t="str">
        <f t="shared" si="132"/>
        <v/>
      </c>
      <c r="P115" s="92" t="str">
        <f t="shared" si="133"/>
        <v/>
      </c>
      <c r="Q115" s="95" t="str">
        <f t="shared" si="134"/>
        <v/>
      </c>
      <c r="R115" s="96"/>
    </row>
    <row r="116" spans="1:18" s="111" customFormat="1" ht="16.2" thickBot="1" x14ac:dyDescent="0.35">
      <c r="A116" s="83" t="str">
        <f>IF(TRIM(H116)&lt;&gt;"",COUNTA(H$9:$H116)&amp;"","")</f>
        <v/>
      </c>
      <c r="B116" s="100"/>
      <c r="C116" s="100"/>
      <c r="D116" s="101"/>
      <c r="E116" s="102"/>
      <c r="F116" s="103"/>
      <c r="H116" s="104"/>
      <c r="I116" s="105" t="s">
        <v>12</v>
      </c>
      <c r="J116" s="106"/>
      <c r="K116" s="107">
        <f>SUM(L$112:L$115)</f>
        <v>0</v>
      </c>
      <c r="L116" s="211" t="s">
        <v>13</v>
      </c>
      <c r="M116" s="212"/>
      <c r="N116" s="108">
        <f>SUM(P$112:P$115)</f>
        <v>0</v>
      </c>
      <c r="O116" s="211" t="s">
        <v>42</v>
      </c>
      <c r="P116" s="212"/>
      <c r="Q116" s="109">
        <f>SUM(O$112:O$115)</f>
        <v>0</v>
      </c>
      <c r="R116" s="110">
        <f>SUM(Q$112:Q$115)</f>
        <v>0</v>
      </c>
    </row>
    <row r="117" spans="1:18" s="164" customFormat="1" ht="19.2" customHeight="1" x14ac:dyDescent="0.3">
      <c r="A117" s="160" t="str">
        <f>IF(TRIM(H117)&lt;&gt;"",COUNTA(H$9:$H117)&amp;"","")</f>
        <v/>
      </c>
      <c r="B117" s="161"/>
      <c r="C117" s="161"/>
      <c r="D117" s="162">
        <v>70000</v>
      </c>
      <c r="E117" s="162" t="s">
        <v>112</v>
      </c>
      <c r="F117" s="163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5"/>
    </row>
    <row r="118" spans="1:18" s="113" customFormat="1" ht="19.2" customHeight="1" x14ac:dyDescent="0.3">
      <c r="A118" s="83" t="str">
        <f>IF(TRIM(H118)&lt;&gt;"",COUNTA(H$9:$H118)&amp;"","")</f>
        <v/>
      </c>
      <c r="B118" s="112"/>
      <c r="C118" s="112"/>
      <c r="D118" s="85"/>
      <c r="E118" s="157" t="s">
        <v>78</v>
      </c>
      <c r="F118" s="87"/>
      <c r="H118" s="88"/>
      <c r="I118" s="89" t="str">
        <f t="shared" ref="I118:I129" si="135">IF(F118=0,"",0)</f>
        <v/>
      </c>
      <c r="J118" s="90" t="str">
        <f t="shared" ref="J118:J129" si="136">IF(F118=0,"",F118+(F118*I118))</f>
        <v/>
      </c>
      <c r="K118" s="91" t="str">
        <f t="shared" ref="K118:K129" si="137">IF(F118=0,"",0)</f>
        <v/>
      </c>
      <c r="L118" s="92" t="str">
        <f t="shared" ref="L118:L129" si="138">IF(F118=0,"",K118*J118)</f>
        <v/>
      </c>
      <c r="M118" s="93" t="str">
        <f t="shared" ref="M118:M129" si="139">IF(F118=0,"",M$7)</f>
        <v/>
      </c>
      <c r="N118" s="94" t="str">
        <f t="shared" ref="N118:N129" si="140">IF(F118=0,"",0)</f>
        <v/>
      </c>
      <c r="O118" s="94" t="str">
        <f t="shared" ref="O118:O129" si="141">IF(F118=0,"",N118*J118)</f>
        <v/>
      </c>
      <c r="P118" s="92" t="str">
        <f t="shared" ref="P118:P129" si="142">IF(F118=0,"",O118*M118)</f>
        <v/>
      </c>
      <c r="Q118" s="95" t="str">
        <f t="shared" ref="Q118:Q129" si="143">IF(F118=0,"",L118+P118)</f>
        <v/>
      </c>
      <c r="R118" s="96"/>
    </row>
    <row r="119" spans="1:18" ht="82.8" x14ac:dyDescent="0.3">
      <c r="A119" s="83" t="str">
        <f>IF(TRIM(H119)&lt;&gt;"",COUNTA(H$9:$H119)&amp;"","")</f>
        <v>82</v>
      </c>
      <c r="B119" s="84" t="s">
        <v>412</v>
      </c>
      <c r="C119" s="84" t="s">
        <v>416</v>
      </c>
      <c r="D119" s="85"/>
      <c r="E119" s="97" t="s">
        <v>417</v>
      </c>
      <c r="F119" s="87">
        <v>120</v>
      </c>
      <c r="H119" s="88" t="s">
        <v>147</v>
      </c>
      <c r="I119" s="89">
        <f>IF(F119=0,"",0)</f>
        <v>0</v>
      </c>
      <c r="J119" s="90">
        <f>IF(F119=0,"",F119+(F119*I119))</f>
        <v>120</v>
      </c>
      <c r="K119" s="91">
        <f>IF(F119=0,"",0)</f>
        <v>0</v>
      </c>
      <c r="L119" s="92">
        <f>IF(F119=0,"",K119*J119)</f>
        <v>0</v>
      </c>
      <c r="M119" s="93">
        <f>IF(F119=0,"",M$7)</f>
        <v>0</v>
      </c>
      <c r="N119" s="94">
        <f>IF(F119=0,"",0)</f>
        <v>0</v>
      </c>
      <c r="O119" s="94">
        <f>IF(F119=0,"",N119*J119)</f>
        <v>0</v>
      </c>
      <c r="P119" s="92">
        <f>IF(F119=0,"",O119*M119)</f>
        <v>0</v>
      </c>
      <c r="Q119" s="95">
        <f>IF(F119=0,"",L119+P119)</f>
        <v>0</v>
      </c>
      <c r="R119" s="96"/>
    </row>
    <row r="120" spans="1:18" s="113" customFormat="1" ht="19.2" customHeight="1" x14ac:dyDescent="0.3">
      <c r="A120" s="83" t="str">
        <f>IF(TRIM(H120)&lt;&gt;"",COUNTA(H$9:$H120)&amp;"","")</f>
        <v/>
      </c>
      <c r="B120" s="112"/>
      <c r="C120" s="112"/>
      <c r="D120" s="85"/>
      <c r="E120" s="157" t="s">
        <v>79</v>
      </c>
      <c r="F120" s="87"/>
      <c r="H120" s="88"/>
      <c r="I120" s="89" t="str">
        <f t="shared" si="135"/>
        <v/>
      </c>
      <c r="J120" s="90" t="str">
        <f t="shared" si="136"/>
        <v/>
      </c>
      <c r="K120" s="91" t="str">
        <f t="shared" si="137"/>
        <v/>
      </c>
      <c r="L120" s="92" t="str">
        <f t="shared" si="138"/>
        <v/>
      </c>
      <c r="M120" s="93" t="str">
        <f t="shared" si="139"/>
        <v/>
      </c>
      <c r="N120" s="94" t="str">
        <f t="shared" si="140"/>
        <v/>
      </c>
      <c r="O120" s="94" t="str">
        <f t="shared" si="141"/>
        <v/>
      </c>
      <c r="P120" s="92" t="str">
        <f t="shared" si="142"/>
        <v/>
      </c>
      <c r="Q120" s="95" t="str">
        <f t="shared" si="143"/>
        <v/>
      </c>
      <c r="R120" s="96"/>
    </row>
    <row r="121" spans="1:18" x14ac:dyDescent="0.3">
      <c r="A121" s="83" t="str">
        <f>IF(TRIM(H121)&lt;&gt;"",COUNTA(H$9:$H121)&amp;"","")</f>
        <v>83</v>
      </c>
      <c r="B121" s="84" t="s">
        <v>372</v>
      </c>
      <c r="C121" s="84" t="s">
        <v>375</v>
      </c>
      <c r="D121" s="85"/>
      <c r="E121" s="97" t="s">
        <v>405</v>
      </c>
      <c r="F121" s="87">
        <v>19</v>
      </c>
      <c r="H121" s="88" t="s">
        <v>175</v>
      </c>
      <c r="I121" s="89">
        <f t="shared" si="135"/>
        <v>0</v>
      </c>
      <c r="J121" s="90">
        <f t="shared" si="136"/>
        <v>19</v>
      </c>
      <c r="K121" s="91">
        <f t="shared" si="137"/>
        <v>0</v>
      </c>
      <c r="L121" s="92">
        <f t="shared" si="138"/>
        <v>0</v>
      </c>
      <c r="M121" s="93">
        <f t="shared" si="139"/>
        <v>0</v>
      </c>
      <c r="N121" s="94">
        <f t="shared" si="140"/>
        <v>0</v>
      </c>
      <c r="O121" s="94">
        <f t="shared" si="141"/>
        <v>0</v>
      </c>
      <c r="P121" s="92">
        <f t="shared" si="142"/>
        <v>0</v>
      </c>
      <c r="Q121" s="95">
        <f t="shared" si="143"/>
        <v>0</v>
      </c>
      <c r="R121" s="96"/>
    </row>
    <row r="122" spans="1:18" x14ac:dyDescent="0.3">
      <c r="A122" s="83" t="str">
        <f>IF(TRIM(H122)&lt;&gt;"",COUNTA(H$9:$H122)&amp;"","")</f>
        <v>84</v>
      </c>
      <c r="B122" s="84" t="s">
        <v>412</v>
      </c>
      <c r="C122" s="84" t="s">
        <v>414</v>
      </c>
      <c r="D122" s="85"/>
      <c r="E122" s="97" t="s">
        <v>413</v>
      </c>
      <c r="F122" s="87">
        <v>72</v>
      </c>
      <c r="H122" s="88" t="s">
        <v>232</v>
      </c>
      <c r="I122" s="89">
        <f t="shared" si="135"/>
        <v>0</v>
      </c>
      <c r="J122" s="90">
        <f t="shared" si="136"/>
        <v>72</v>
      </c>
      <c r="K122" s="91">
        <f t="shared" si="137"/>
        <v>0</v>
      </c>
      <c r="L122" s="92">
        <f t="shared" si="138"/>
        <v>0</v>
      </c>
      <c r="M122" s="93">
        <f t="shared" si="139"/>
        <v>0</v>
      </c>
      <c r="N122" s="94">
        <f t="shared" si="140"/>
        <v>0</v>
      </c>
      <c r="O122" s="94">
        <f t="shared" si="141"/>
        <v>0</v>
      </c>
      <c r="P122" s="92">
        <f t="shared" si="142"/>
        <v>0</v>
      </c>
      <c r="Q122" s="95">
        <f t="shared" si="143"/>
        <v>0</v>
      </c>
      <c r="R122" s="96"/>
    </row>
    <row r="123" spans="1:18" x14ac:dyDescent="0.3">
      <c r="A123" s="83" t="str">
        <f>IF(TRIM(H123)&lt;&gt;"",COUNTA(H$9:$H123)&amp;"","")</f>
        <v>85</v>
      </c>
      <c r="B123" s="84" t="s">
        <v>502</v>
      </c>
      <c r="C123" s="84"/>
      <c r="D123" s="85"/>
      <c r="E123" s="97" t="s">
        <v>501</v>
      </c>
      <c r="F123" s="87">
        <v>27</v>
      </c>
      <c r="H123" s="88" t="s">
        <v>175</v>
      </c>
      <c r="I123" s="89">
        <f t="shared" si="135"/>
        <v>0</v>
      </c>
      <c r="J123" s="90">
        <f t="shared" si="136"/>
        <v>27</v>
      </c>
      <c r="K123" s="91">
        <f t="shared" si="137"/>
        <v>0</v>
      </c>
      <c r="L123" s="92">
        <f t="shared" si="138"/>
        <v>0</v>
      </c>
      <c r="M123" s="93">
        <f t="shared" si="139"/>
        <v>0</v>
      </c>
      <c r="N123" s="94">
        <f t="shared" si="140"/>
        <v>0</v>
      </c>
      <c r="O123" s="94">
        <f t="shared" si="141"/>
        <v>0</v>
      </c>
      <c r="P123" s="92">
        <f t="shared" si="142"/>
        <v>0</v>
      </c>
      <c r="Q123" s="95">
        <f t="shared" si="143"/>
        <v>0</v>
      </c>
      <c r="R123" s="96"/>
    </row>
    <row r="124" spans="1:18" x14ac:dyDescent="0.3">
      <c r="A124" s="83" t="str">
        <f>IF(TRIM(H124)&lt;&gt;"",COUNTA(H$9:$H124)&amp;"","")</f>
        <v>86</v>
      </c>
      <c r="B124" s="84" t="s">
        <v>503</v>
      </c>
      <c r="C124" s="84"/>
      <c r="D124" s="85"/>
      <c r="E124" s="97" t="s">
        <v>504</v>
      </c>
      <c r="F124" s="87">
        <v>25</v>
      </c>
      <c r="H124" s="88" t="s">
        <v>175</v>
      </c>
      <c r="I124" s="89">
        <f t="shared" ref="I124" si="144">IF(F124=0,"",0)</f>
        <v>0</v>
      </c>
      <c r="J124" s="90">
        <f t="shared" ref="J124" si="145">IF(F124=0,"",F124+(F124*I124))</f>
        <v>25</v>
      </c>
      <c r="K124" s="91">
        <f t="shared" ref="K124" si="146">IF(F124=0,"",0)</f>
        <v>0</v>
      </c>
      <c r="L124" s="92">
        <f t="shared" ref="L124" si="147">IF(F124=0,"",K124*J124)</f>
        <v>0</v>
      </c>
      <c r="M124" s="93">
        <f t="shared" ref="M124" si="148">IF(F124=0,"",M$7)</f>
        <v>0</v>
      </c>
      <c r="N124" s="94">
        <f t="shared" ref="N124" si="149">IF(F124=0,"",0)</f>
        <v>0</v>
      </c>
      <c r="O124" s="94">
        <f t="shared" ref="O124" si="150">IF(F124=0,"",N124*J124)</f>
        <v>0</v>
      </c>
      <c r="P124" s="92">
        <f t="shared" ref="P124" si="151">IF(F124=0,"",O124*M124)</f>
        <v>0</v>
      </c>
      <c r="Q124" s="95">
        <f t="shared" ref="Q124" si="152">IF(F124=0,"",L124+P124)</f>
        <v>0</v>
      </c>
      <c r="R124" s="96"/>
    </row>
    <row r="125" spans="1:18" s="113" customFormat="1" ht="19.2" customHeight="1" x14ac:dyDescent="0.3">
      <c r="A125" s="83" t="str">
        <f>IF(TRIM(H125)&lt;&gt;"",COUNTA(H$9:$H125)&amp;"","")</f>
        <v/>
      </c>
      <c r="B125" s="112"/>
      <c r="C125" s="112"/>
      <c r="D125" s="85" t="s">
        <v>200</v>
      </c>
      <c r="E125" s="157" t="s">
        <v>201</v>
      </c>
      <c r="F125" s="87"/>
      <c r="H125" s="88"/>
      <c r="I125" s="89" t="str">
        <f t="shared" si="135"/>
        <v/>
      </c>
      <c r="J125" s="90" t="str">
        <f t="shared" si="136"/>
        <v/>
      </c>
      <c r="K125" s="91" t="str">
        <f t="shared" si="137"/>
        <v/>
      </c>
      <c r="L125" s="92" t="str">
        <f t="shared" si="138"/>
        <v/>
      </c>
      <c r="M125" s="93" t="str">
        <f t="shared" si="139"/>
        <v/>
      </c>
      <c r="N125" s="94" t="str">
        <f t="shared" si="140"/>
        <v/>
      </c>
      <c r="O125" s="94" t="str">
        <f t="shared" si="141"/>
        <v/>
      </c>
      <c r="P125" s="92" t="str">
        <f t="shared" si="142"/>
        <v/>
      </c>
      <c r="Q125" s="95" t="str">
        <f t="shared" si="143"/>
        <v/>
      </c>
      <c r="R125" s="96"/>
    </row>
    <row r="126" spans="1:18" x14ac:dyDescent="0.3">
      <c r="A126" s="83" t="str">
        <f>IF(TRIM(H126)&lt;&gt;"",COUNTA(H$9:$H126)&amp;"","")</f>
        <v>87</v>
      </c>
      <c r="B126" s="84"/>
      <c r="C126" s="84"/>
      <c r="D126" s="85"/>
      <c r="E126" s="97" t="s">
        <v>539</v>
      </c>
      <c r="F126" s="87">
        <v>1</v>
      </c>
      <c r="H126" s="88" t="s">
        <v>181</v>
      </c>
      <c r="I126" s="89">
        <f t="shared" si="135"/>
        <v>0</v>
      </c>
      <c r="J126" s="90">
        <f t="shared" si="136"/>
        <v>1</v>
      </c>
      <c r="K126" s="91">
        <f t="shared" si="137"/>
        <v>0</v>
      </c>
      <c r="L126" s="92">
        <f t="shared" si="138"/>
        <v>0</v>
      </c>
      <c r="M126" s="93">
        <f t="shared" si="139"/>
        <v>0</v>
      </c>
      <c r="N126" s="94">
        <f t="shared" si="140"/>
        <v>0</v>
      </c>
      <c r="O126" s="94">
        <f t="shared" si="141"/>
        <v>0</v>
      </c>
      <c r="P126" s="92">
        <f t="shared" si="142"/>
        <v>0</v>
      </c>
      <c r="Q126" s="95">
        <f t="shared" si="143"/>
        <v>0</v>
      </c>
      <c r="R126" s="96"/>
    </row>
    <row r="127" spans="1:18" s="113" customFormat="1" ht="19.2" customHeight="1" x14ac:dyDescent="0.3">
      <c r="A127" s="83" t="str">
        <f>IF(TRIM(H127)&lt;&gt;"",COUNTA(H$9:$H127)&amp;"","")</f>
        <v/>
      </c>
      <c r="B127" s="112"/>
      <c r="C127" s="112"/>
      <c r="D127" s="85" t="s">
        <v>81</v>
      </c>
      <c r="E127" s="157" t="s">
        <v>80</v>
      </c>
      <c r="F127" s="87"/>
      <c r="H127" s="88"/>
      <c r="I127" s="89" t="str">
        <f t="shared" si="135"/>
        <v/>
      </c>
      <c r="J127" s="90" t="str">
        <f t="shared" si="136"/>
        <v/>
      </c>
      <c r="K127" s="91" t="str">
        <f t="shared" si="137"/>
        <v/>
      </c>
      <c r="L127" s="92" t="str">
        <f t="shared" si="138"/>
        <v/>
      </c>
      <c r="M127" s="93" t="str">
        <f t="shared" si="139"/>
        <v/>
      </c>
      <c r="N127" s="94" t="str">
        <f t="shared" si="140"/>
        <v/>
      </c>
      <c r="O127" s="94" t="str">
        <f t="shared" si="141"/>
        <v/>
      </c>
      <c r="P127" s="92" t="str">
        <f t="shared" si="142"/>
        <v/>
      </c>
      <c r="Q127" s="95" t="str">
        <f t="shared" si="143"/>
        <v/>
      </c>
      <c r="R127" s="96"/>
    </row>
    <row r="128" spans="1:18" x14ac:dyDescent="0.3">
      <c r="A128" s="83" t="str">
        <f>IF(TRIM(H128)&lt;&gt;"",COUNTA(H$9:$H128)&amp;"","")</f>
        <v>88</v>
      </c>
      <c r="B128" s="84"/>
      <c r="C128" s="84"/>
      <c r="D128" s="85"/>
      <c r="E128" s="97" t="s">
        <v>540</v>
      </c>
      <c r="F128" s="87">
        <v>1</v>
      </c>
      <c r="H128" s="88" t="s">
        <v>181</v>
      </c>
      <c r="I128" s="89">
        <f t="shared" si="135"/>
        <v>0</v>
      </c>
      <c r="J128" s="90">
        <f t="shared" si="136"/>
        <v>1</v>
      </c>
      <c r="K128" s="91">
        <f t="shared" si="137"/>
        <v>0</v>
      </c>
      <c r="L128" s="92">
        <f t="shared" si="138"/>
        <v>0</v>
      </c>
      <c r="M128" s="93">
        <f t="shared" si="139"/>
        <v>0</v>
      </c>
      <c r="N128" s="94">
        <f t="shared" si="140"/>
        <v>0</v>
      </c>
      <c r="O128" s="94">
        <f t="shared" si="141"/>
        <v>0</v>
      </c>
      <c r="P128" s="92">
        <f t="shared" si="142"/>
        <v>0</v>
      </c>
      <c r="Q128" s="95">
        <f t="shared" si="143"/>
        <v>0</v>
      </c>
      <c r="R128" s="96"/>
    </row>
    <row r="129" spans="1:18" ht="15" thickBot="1" x14ac:dyDescent="0.35">
      <c r="A129" s="83" t="str">
        <f>IF(TRIM(H129)&lt;&gt;"",COUNTA(H$9:$H129)&amp;"","")</f>
        <v/>
      </c>
      <c r="B129" s="98"/>
      <c r="C129" s="98"/>
      <c r="D129" s="85"/>
      <c r="E129" s="99"/>
      <c r="F129" s="87"/>
      <c r="H129" s="88"/>
      <c r="I129" s="89" t="str">
        <f t="shared" si="135"/>
        <v/>
      </c>
      <c r="J129" s="90" t="str">
        <f t="shared" si="136"/>
        <v/>
      </c>
      <c r="K129" s="91" t="str">
        <f t="shared" si="137"/>
        <v/>
      </c>
      <c r="L129" s="92" t="str">
        <f t="shared" si="138"/>
        <v/>
      </c>
      <c r="M129" s="93" t="str">
        <f t="shared" si="139"/>
        <v/>
      </c>
      <c r="N129" s="94" t="str">
        <f t="shared" si="140"/>
        <v/>
      </c>
      <c r="O129" s="94" t="str">
        <f t="shared" si="141"/>
        <v/>
      </c>
      <c r="P129" s="92" t="str">
        <f t="shared" si="142"/>
        <v/>
      </c>
      <c r="Q129" s="95" t="str">
        <f t="shared" si="143"/>
        <v/>
      </c>
      <c r="R129" s="96"/>
    </row>
    <row r="130" spans="1:18" s="111" customFormat="1" ht="16.2" thickBot="1" x14ac:dyDescent="0.35">
      <c r="A130" s="83" t="str">
        <f>IF(TRIM(H130)&lt;&gt;"",COUNTA(H$9:$H130)&amp;"","")</f>
        <v/>
      </c>
      <c r="B130" s="100"/>
      <c r="C130" s="100"/>
      <c r="D130" s="101"/>
      <c r="E130" s="102"/>
      <c r="F130" s="103"/>
      <c r="H130" s="104"/>
      <c r="I130" s="105" t="s">
        <v>12</v>
      </c>
      <c r="J130" s="106"/>
      <c r="K130" s="107">
        <f>SUM(L$117:L$129)</f>
        <v>0</v>
      </c>
      <c r="L130" s="211" t="s">
        <v>13</v>
      </c>
      <c r="M130" s="212"/>
      <c r="N130" s="108">
        <f>SUM(P$117:P$129)</f>
        <v>0</v>
      </c>
      <c r="O130" s="211" t="s">
        <v>42</v>
      </c>
      <c r="P130" s="212"/>
      <c r="Q130" s="109">
        <f>SUM(O$117:O$129)</f>
        <v>0</v>
      </c>
      <c r="R130" s="110">
        <f>SUM(Q$117:Q$129)</f>
        <v>0</v>
      </c>
    </row>
    <row r="131" spans="1:18" s="164" customFormat="1" ht="20.100000000000001" customHeight="1" x14ac:dyDescent="0.3">
      <c r="A131" s="160" t="str">
        <f>IF(TRIM(H131)&lt;&gt;"",COUNTA(H$9:$H131)&amp;"","")</f>
        <v/>
      </c>
      <c r="B131" s="161"/>
      <c r="C131" s="161"/>
      <c r="D131" s="162" t="s">
        <v>46</v>
      </c>
      <c r="E131" s="162" t="s">
        <v>82</v>
      </c>
      <c r="F131" s="163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5"/>
    </row>
    <row r="132" spans="1:18" s="113" customFormat="1" ht="19.2" customHeight="1" x14ac:dyDescent="0.3">
      <c r="A132" s="83" t="str">
        <f>IF(TRIM(H132)&lt;&gt;"",COUNTA(H$9:$H132)&amp;"","")</f>
        <v/>
      </c>
      <c r="B132" s="112"/>
      <c r="C132" s="112"/>
      <c r="D132" s="85" t="s">
        <v>203</v>
      </c>
      <c r="E132" s="157" t="s">
        <v>202</v>
      </c>
      <c r="F132" s="87"/>
      <c r="H132" s="88"/>
      <c r="I132" s="89" t="str">
        <f t="shared" ref="I132:I147" si="153">IF(F132=0,"",0)</f>
        <v/>
      </c>
      <c r="J132" s="90" t="str">
        <f t="shared" ref="J132:J147" si="154">IF(F132=0,"",F132+(F132*I132))</f>
        <v/>
      </c>
      <c r="K132" s="91" t="str">
        <f t="shared" ref="K132:K147" si="155">IF(F132=0,"",0)</f>
        <v/>
      </c>
      <c r="L132" s="92" t="str">
        <f t="shared" ref="L132:L147" si="156">IF(F132=0,"",K132*J132)</f>
        <v/>
      </c>
      <c r="M132" s="93" t="str">
        <f t="shared" ref="M132:M147" si="157">IF(F132=0,"",M$7)</f>
        <v/>
      </c>
      <c r="N132" s="94" t="str">
        <f t="shared" ref="N132:N147" si="158">IF(F132=0,"",0)</f>
        <v/>
      </c>
      <c r="O132" s="94" t="str">
        <f t="shared" ref="O132:O147" si="159">IF(F132=0,"",N132*J132)</f>
        <v/>
      </c>
      <c r="P132" s="92" t="str">
        <f t="shared" ref="P132:P147" si="160">IF(F132=0,"",O132*M132)</f>
        <v/>
      </c>
      <c r="Q132" s="95" t="str">
        <f t="shared" ref="Q132:Q147" si="161">IF(F132=0,"",L132+P132)</f>
        <v/>
      </c>
      <c r="R132" s="96"/>
    </row>
    <row r="133" spans="1:18" ht="27.6" x14ac:dyDescent="0.3">
      <c r="A133" s="83" t="str">
        <f>IF(TRIM(H133)&lt;&gt;"",COUNTA(H$9:$H133)&amp;"","")</f>
        <v>89</v>
      </c>
      <c r="B133" s="84" t="s">
        <v>475</v>
      </c>
      <c r="C133" s="84" t="s">
        <v>476</v>
      </c>
      <c r="D133" s="85"/>
      <c r="E133" s="97" t="s">
        <v>520</v>
      </c>
      <c r="F133" s="87">
        <v>10</v>
      </c>
      <c r="H133" s="88" t="s">
        <v>232</v>
      </c>
      <c r="I133" s="89">
        <f t="shared" si="153"/>
        <v>0</v>
      </c>
      <c r="J133" s="90">
        <f t="shared" si="154"/>
        <v>10</v>
      </c>
      <c r="K133" s="91">
        <f t="shared" si="155"/>
        <v>0</v>
      </c>
      <c r="L133" s="92">
        <f t="shared" si="156"/>
        <v>0</v>
      </c>
      <c r="M133" s="93">
        <f t="shared" si="157"/>
        <v>0</v>
      </c>
      <c r="N133" s="94">
        <f t="shared" si="158"/>
        <v>0</v>
      </c>
      <c r="O133" s="94">
        <f t="shared" si="159"/>
        <v>0</v>
      </c>
      <c r="P133" s="92">
        <f t="shared" si="160"/>
        <v>0</v>
      </c>
      <c r="Q133" s="95">
        <f t="shared" si="161"/>
        <v>0</v>
      </c>
      <c r="R133" s="96"/>
    </row>
    <row r="134" spans="1:18" x14ac:dyDescent="0.3">
      <c r="A134" s="83" t="str">
        <f>IF(TRIM(H134)&lt;&gt;"",COUNTA(H$9:$H134)&amp;"","")</f>
        <v>90</v>
      </c>
      <c r="B134" s="84"/>
      <c r="C134" s="84"/>
      <c r="D134" s="85"/>
      <c r="E134" s="97" t="s">
        <v>517</v>
      </c>
      <c r="F134" s="87">
        <v>2</v>
      </c>
      <c r="H134" s="88" t="s">
        <v>232</v>
      </c>
      <c r="I134" s="89">
        <f t="shared" si="153"/>
        <v>0</v>
      </c>
      <c r="J134" s="90">
        <f t="shared" si="154"/>
        <v>2</v>
      </c>
      <c r="K134" s="91">
        <f t="shared" si="155"/>
        <v>0</v>
      </c>
      <c r="L134" s="92">
        <f t="shared" si="156"/>
        <v>0</v>
      </c>
      <c r="M134" s="93">
        <f t="shared" si="157"/>
        <v>0</v>
      </c>
      <c r="N134" s="94">
        <f t="shared" si="158"/>
        <v>0</v>
      </c>
      <c r="O134" s="94">
        <f t="shared" si="159"/>
        <v>0</v>
      </c>
      <c r="P134" s="92">
        <f t="shared" si="160"/>
        <v>0</v>
      </c>
      <c r="Q134" s="95">
        <f t="shared" si="161"/>
        <v>0</v>
      </c>
      <c r="R134" s="96"/>
    </row>
    <row r="135" spans="1:18" ht="27.6" x14ac:dyDescent="0.3">
      <c r="A135" s="83" t="str">
        <f>IF(TRIM(H135)&lt;&gt;"",COUNTA(H$9:$H135)&amp;"","")</f>
        <v>91</v>
      </c>
      <c r="B135" s="84"/>
      <c r="C135" s="84"/>
      <c r="D135" s="85"/>
      <c r="E135" s="97" t="s">
        <v>523</v>
      </c>
      <c r="F135" s="87">
        <v>23</v>
      </c>
      <c r="H135" s="88" t="s">
        <v>232</v>
      </c>
      <c r="I135" s="89">
        <f t="shared" si="153"/>
        <v>0</v>
      </c>
      <c r="J135" s="90">
        <f t="shared" si="154"/>
        <v>23</v>
      </c>
      <c r="K135" s="91">
        <f t="shared" si="155"/>
        <v>0</v>
      </c>
      <c r="L135" s="92">
        <f t="shared" si="156"/>
        <v>0</v>
      </c>
      <c r="M135" s="93">
        <f t="shared" si="157"/>
        <v>0</v>
      </c>
      <c r="N135" s="94">
        <f t="shared" si="158"/>
        <v>0</v>
      </c>
      <c r="O135" s="94">
        <f t="shared" si="159"/>
        <v>0</v>
      </c>
      <c r="P135" s="92">
        <f t="shared" si="160"/>
        <v>0</v>
      </c>
      <c r="Q135" s="95">
        <f t="shared" si="161"/>
        <v>0</v>
      </c>
      <c r="R135" s="96"/>
    </row>
    <row r="136" spans="1:18" ht="27.6" x14ac:dyDescent="0.3">
      <c r="A136" s="83" t="str">
        <f>IF(TRIM(H136)&lt;&gt;"",COUNTA(H$9:$H136)&amp;"","")</f>
        <v>92</v>
      </c>
      <c r="B136" s="84"/>
      <c r="C136" s="84"/>
      <c r="D136" s="85"/>
      <c r="E136" s="97" t="s">
        <v>521</v>
      </c>
      <c r="F136" s="87">
        <v>1</v>
      </c>
      <c r="H136" s="88" t="s">
        <v>232</v>
      </c>
      <c r="I136" s="89">
        <f t="shared" ref="I136:I139" si="162">IF(F136=0,"",0)</f>
        <v>0</v>
      </c>
      <c r="J136" s="90">
        <f t="shared" ref="J136:J139" si="163">IF(F136=0,"",F136+(F136*I136))</f>
        <v>1</v>
      </c>
      <c r="K136" s="91">
        <f t="shared" ref="K136:K139" si="164">IF(F136=0,"",0)</f>
        <v>0</v>
      </c>
      <c r="L136" s="92">
        <f t="shared" ref="L136:L139" si="165">IF(F136=0,"",K136*J136)</f>
        <v>0</v>
      </c>
      <c r="M136" s="93">
        <f t="shared" ref="M136:M139" si="166">IF(F136=0,"",M$7)</f>
        <v>0</v>
      </c>
      <c r="N136" s="94">
        <f t="shared" ref="N136:N139" si="167">IF(F136=0,"",0)</f>
        <v>0</v>
      </c>
      <c r="O136" s="94">
        <f t="shared" ref="O136:O139" si="168">IF(F136=0,"",N136*J136)</f>
        <v>0</v>
      </c>
      <c r="P136" s="92">
        <f t="shared" ref="P136:P139" si="169">IF(F136=0,"",O136*M136)</f>
        <v>0</v>
      </c>
      <c r="Q136" s="95">
        <f t="shared" ref="Q136:Q139" si="170">IF(F136=0,"",L136+P136)</f>
        <v>0</v>
      </c>
      <c r="R136" s="96"/>
    </row>
    <row r="137" spans="1:18" ht="27.6" x14ac:dyDescent="0.3">
      <c r="A137" s="83" t="str">
        <f>IF(TRIM(H137)&lt;&gt;"",COUNTA(H$9:$H137)&amp;"","")</f>
        <v>93</v>
      </c>
      <c r="B137" s="84"/>
      <c r="C137" s="84"/>
      <c r="D137" s="85"/>
      <c r="E137" s="97" t="s">
        <v>522</v>
      </c>
      <c r="F137" s="87">
        <v>1</v>
      </c>
      <c r="H137" s="88" t="s">
        <v>232</v>
      </c>
      <c r="I137" s="89">
        <f t="shared" si="162"/>
        <v>0</v>
      </c>
      <c r="J137" s="90">
        <f t="shared" si="163"/>
        <v>1</v>
      </c>
      <c r="K137" s="91">
        <f t="shared" si="164"/>
        <v>0</v>
      </c>
      <c r="L137" s="92">
        <f t="shared" si="165"/>
        <v>0</v>
      </c>
      <c r="M137" s="93">
        <f t="shared" si="166"/>
        <v>0</v>
      </c>
      <c r="N137" s="94">
        <f t="shared" si="167"/>
        <v>0</v>
      </c>
      <c r="O137" s="94">
        <f t="shared" si="168"/>
        <v>0</v>
      </c>
      <c r="P137" s="92">
        <f t="shared" si="169"/>
        <v>0</v>
      </c>
      <c r="Q137" s="95">
        <f t="shared" si="170"/>
        <v>0</v>
      </c>
      <c r="R137" s="96"/>
    </row>
    <row r="138" spans="1:18" x14ac:dyDescent="0.3">
      <c r="A138" s="83" t="str">
        <f>IF(TRIM(H138)&lt;&gt;"",COUNTA(H$9:$H138)&amp;"","")</f>
        <v>94</v>
      </c>
      <c r="B138" s="84"/>
      <c r="C138" s="84"/>
      <c r="D138" s="85"/>
      <c r="E138" s="97" t="s">
        <v>518</v>
      </c>
      <c r="F138" s="87">
        <v>1</v>
      </c>
      <c r="H138" s="88" t="s">
        <v>232</v>
      </c>
      <c r="I138" s="89">
        <f t="shared" si="162"/>
        <v>0</v>
      </c>
      <c r="J138" s="90">
        <f t="shared" si="163"/>
        <v>1</v>
      </c>
      <c r="K138" s="91">
        <f t="shared" si="164"/>
        <v>0</v>
      </c>
      <c r="L138" s="92">
        <f t="shared" si="165"/>
        <v>0</v>
      </c>
      <c r="M138" s="93">
        <f t="shared" si="166"/>
        <v>0</v>
      </c>
      <c r="N138" s="94">
        <f t="shared" si="167"/>
        <v>0</v>
      </c>
      <c r="O138" s="94">
        <f t="shared" si="168"/>
        <v>0</v>
      </c>
      <c r="P138" s="92">
        <f t="shared" si="169"/>
        <v>0</v>
      </c>
      <c r="Q138" s="95">
        <f t="shared" si="170"/>
        <v>0</v>
      </c>
      <c r="R138" s="96"/>
    </row>
    <row r="139" spans="1:18" x14ac:dyDescent="0.3">
      <c r="A139" s="83" t="str">
        <f>IF(TRIM(H139)&lt;&gt;"",COUNTA(H$9:$H139)&amp;"","")</f>
        <v>95</v>
      </c>
      <c r="B139" s="84"/>
      <c r="C139" s="84"/>
      <c r="D139" s="85"/>
      <c r="E139" s="97" t="s">
        <v>519</v>
      </c>
      <c r="F139" s="87">
        <v>1</v>
      </c>
      <c r="H139" s="88" t="s">
        <v>232</v>
      </c>
      <c r="I139" s="89">
        <f t="shared" si="162"/>
        <v>0</v>
      </c>
      <c r="J139" s="90">
        <f t="shared" si="163"/>
        <v>1</v>
      </c>
      <c r="K139" s="91">
        <f t="shared" si="164"/>
        <v>0</v>
      </c>
      <c r="L139" s="92">
        <f t="shared" si="165"/>
        <v>0</v>
      </c>
      <c r="M139" s="93">
        <f t="shared" si="166"/>
        <v>0</v>
      </c>
      <c r="N139" s="94">
        <f t="shared" si="167"/>
        <v>0</v>
      </c>
      <c r="O139" s="94">
        <f t="shared" si="168"/>
        <v>0</v>
      </c>
      <c r="P139" s="92">
        <f t="shared" si="169"/>
        <v>0</v>
      </c>
      <c r="Q139" s="95">
        <f t="shared" si="170"/>
        <v>0</v>
      </c>
      <c r="R139" s="96"/>
    </row>
    <row r="140" spans="1:18" s="113" customFormat="1" ht="19.2" customHeight="1" x14ac:dyDescent="0.3">
      <c r="A140" s="83" t="str">
        <f>IF(TRIM(H140)&lt;&gt;"",COUNTA(H$9:$H140)&amp;"","")</f>
        <v/>
      </c>
      <c r="B140" s="112"/>
      <c r="C140" s="112"/>
      <c r="D140" s="85" t="s">
        <v>205</v>
      </c>
      <c r="E140" s="157" t="s">
        <v>204</v>
      </c>
      <c r="F140" s="87"/>
      <c r="H140" s="88"/>
      <c r="I140" s="89" t="str">
        <f t="shared" si="153"/>
        <v/>
      </c>
      <c r="J140" s="90" t="str">
        <f t="shared" si="154"/>
        <v/>
      </c>
      <c r="K140" s="91" t="str">
        <f t="shared" si="155"/>
        <v/>
      </c>
      <c r="L140" s="92" t="str">
        <f t="shared" si="156"/>
        <v/>
      </c>
      <c r="M140" s="93" t="str">
        <f t="shared" si="157"/>
        <v/>
      </c>
      <c r="N140" s="94" t="str">
        <f t="shared" si="158"/>
        <v/>
      </c>
      <c r="O140" s="94" t="str">
        <f t="shared" si="159"/>
        <v/>
      </c>
      <c r="P140" s="92" t="str">
        <f t="shared" si="160"/>
        <v/>
      </c>
      <c r="Q140" s="95" t="str">
        <f t="shared" si="161"/>
        <v/>
      </c>
      <c r="R140" s="96"/>
    </row>
    <row r="141" spans="1:18" ht="41.4" x14ac:dyDescent="0.3">
      <c r="A141" s="83" t="str">
        <f>IF(TRIM(H141)&lt;&gt;"",COUNTA(H$9:$H141)&amp;"","")</f>
        <v>96</v>
      </c>
      <c r="B141" s="84" t="s">
        <v>507</v>
      </c>
      <c r="C141" s="84" t="s">
        <v>509</v>
      </c>
      <c r="D141" s="85"/>
      <c r="E141" s="97" t="s">
        <v>510</v>
      </c>
      <c r="F141" s="87">
        <v>1</v>
      </c>
      <c r="G141" s="64">
        <f>2.34*7.67</f>
        <v>17.947799999999997</v>
      </c>
      <c r="H141" s="88" t="s">
        <v>232</v>
      </c>
      <c r="I141" s="89">
        <f t="shared" si="153"/>
        <v>0</v>
      </c>
      <c r="J141" s="90">
        <f t="shared" si="154"/>
        <v>1</v>
      </c>
      <c r="K141" s="91">
        <f t="shared" si="155"/>
        <v>0</v>
      </c>
      <c r="L141" s="92">
        <f t="shared" si="156"/>
        <v>0</v>
      </c>
      <c r="M141" s="93">
        <f t="shared" si="157"/>
        <v>0</v>
      </c>
      <c r="N141" s="94">
        <f t="shared" si="158"/>
        <v>0</v>
      </c>
      <c r="O141" s="94">
        <f t="shared" si="159"/>
        <v>0</v>
      </c>
      <c r="P141" s="92">
        <f t="shared" si="160"/>
        <v>0</v>
      </c>
      <c r="Q141" s="95">
        <f t="shared" si="161"/>
        <v>0</v>
      </c>
      <c r="R141" s="96"/>
    </row>
    <row r="142" spans="1:18" ht="41.4" x14ac:dyDescent="0.3">
      <c r="A142" s="83" t="str">
        <f>IF(TRIM(H142)&lt;&gt;"",COUNTA(H$9:$H142)&amp;"","")</f>
        <v>97</v>
      </c>
      <c r="B142" s="84"/>
      <c r="C142" s="84"/>
      <c r="D142" s="85"/>
      <c r="E142" s="97" t="s">
        <v>511</v>
      </c>
      <c r="F142" s="87">
        <v>1</v>
      </c>
      <c r="G142" s="64">
        <f>2.34*5.67</f>
        <v>13.267799999999999</v>
      </c>
      <c r="H142" s="88" t="s">
        <v>232</v>
      </c>
      <c r="I142" s="89">
        <f t="shared" si="153"/>
        <v>0</v>
      </c>
      <c r="J142" s="90">
        <f t="shared" si="154"/>
        <v>1</v>
      </c>
      <c r="K142" s="91">
        <f t="shared" si="155"/>
        <v>0</v>
      </c>
      <c r="L142" s="92">
        <f t="shared" si="156"/>
        <v>0</v>
      </c>
      <c r="M142" s="93">
        <f t="shared" si="157"/>
        <v>0</v>
      </c>
      <c r="N142" s="94">
        <f t="shared" si="158"/>
        <v>0</v>
      </c>
      <c r="O142" s="94">
        <f t="shared" si="159"/>
        <v>0</v>
      </c>
      <c r="P142" s="92">
        <f t="shared" si="160"/>
        <v>0</v>
      </c>
      <c r="Q142" s="95">
        <f t="shared" si="161"/>
        <v>0</v>
      </c>
      <c r="R142" s="96"/>
    </row>
    <row r="143" spans="1:18" ht="27.6" x14ac:dyDescent="0.3">
      <c r="A143" s="83" t="str">
        <f>IF(TRIM(H143)&lt;&gt;"",COUNTA(H$9:$H143)&amp;"","")</f>
        <v>98</v>
      </c>
      <c r="B143" s="84"/>
      <c r="C143" s="84"/>
      <c r="D143" s="85"/>
      <c r="E143" s="97" t="s">
        <v>512</v>
      </c>
      <c r="F143" s="87">
        <v>1</v>
      </c>
      <c r="G143" s="64">
        <f>7.67*2.34</f>
        <v>17.947799999999997</v>
      </c>
      <c r="H143" s="88" t="s">
        <v>232</v>
      </c>
      <c r="I143" s="89">
        <f t="shared" si="153"/>
        <v>0</v>
      </c>
      <c r="J143" s="90">
        <f t="shared" si="154"/>
        <v>1</v>
      </c>
      <c r="K143" s="91">
        <f t="shared" si="155"/>
        <v>0</v>
      </c>
      <c r="L143" s="92">
        <f t="shared" si="156"/>
        <v>0</v>
      </c>
      <c r="M143" s="93">
        <f t="shared" si="157"/>
        <v>0</v>
      </c>
      <c r="N143" s="94">
        <f t="shared" si="158"/>
        <v>0</v>
      </c>
      <c r="O143" s="94">
        <f t="shared" si="159"/>
        <v>0</v>
      </c>
      <c r="P143" s="92">
        <f t="shared" si="160"/>
        <v>0</v>
      </c>
      <c r="Q143" s="95">
        <f t="shared" si="161"/>
        <v>0</v>
      </c>
      <c r="R143" s="96"/>
    </row>
    <row r="144" spans="1:18" s="113" customFormat="1" ht="19.2" customHeight="1" x14ac:dyDescent="0.3">
      <c r="A144" s="83" t="str">
        <f>IF(TRIM(H144)&lt;&gt;"",COUNTA(H$9:$H144)&amp;"","")</f>
        <v/>
      </c>
      <c r="B144" s="112"/>
      <c r="C144" s="112"/>
      <c r="D144" s="85" t="s">
        <v>84</v>
      </c>
      <c r="E144" s="157" t="s">
        <v>83</v>
      </c>
      <c r="F144" s="87"/>
      <c r="H144" s="88"/>
      <c r="I144" s="89" t="str">
        <f t="shared" si="153"/>
        <v/>
      </c>
      <c r="J144" s="90" t="str">
        <f t="shared" si="154"/>
        <v/>
      </c>
      <c r="K144" s="91" t="str">
        <f t="shared" si="155"/>
        <v/>
      </c>
      <c r="L144" s="92" t="str">
        <f t="shared" si="156"/>
        <v/>
      </c>
      <c r="M144" s="93" t="str">
        <f t="shared" si="157"/>
        <v/>
      </c>
      <c r="N144" s="94" t="str">
        <f t="shared" si="158"/>
        <v/>
      </c>
      <c r="O144" s="94" t="str">
        <f t="shared" si="159"/>
        <v/>
      </c>
      <c r="P144" s="92" t="str">
        <f t="shared" si="160"/>
        <v/>
      </c>
      <c r="Q144" s="95" t="str">
        <f t="shared" si="161"/>
        <v/>
      </c>
      <c r="R144" s="96"/>
    </row>
    <row r="145" spans="1:18" ht="55.2" x14ac:dyDescent="0.3">
      <c r="A145" s="83" t="str">
        <f>IF(TRIM(H145)&lt;&gt;"",COUNTA(H$9:$H145)&amp;"","")</f>
        <v>99</v>
      </c>
      <c r="B145" s="84" t="s">
        <v>507</v>
      </c>
      <c r="C145" s="84" t="s">
        <v>509</v>
      </c>
      <c r="D145" s="85"/>
      <c r="E145" s="97" t="s">
        <v>508</v>
      </c>
      <c r="F145" s="87">
        <v>1</v>
      </c>
      <c r="H145" s="88" t="s">
        <v>232</v>
      </c>
      <c r="I145" s="89">
        <f t="shared" si="153"/>
        <v>0</v>
      </c>
      <c r="J145" s="90">
        <f t="shared" si="154"/>
        <v>1</v>
      </c>
      <c r="K145" s="91">
        <f t="shared" si="155"/>
        <v>0</v>
      </c>
      <c r="L145" s="92">
        <f t="shared" si="156"/>
        <v>0</v>
      </c>
      <c r="M145" s="93">
        <f t="shared" si="157"/>
        <v>0</v>
      </c>
      <c r="N145" s="94">
        <f t="shared" si="158"/>
        <v>0</v>
      </c>
      <c r="O145" s="94">
        <f t="shared" si="159"/>
        <v>0</v>
      </c>
      <c r="P145" s="92">
        <f t="shared" si="160"/>
        <v>0</v>
      </c>
      <c r="Q145" s="95">
        <f t="shared" si="161"/>
        <v>0</v>
      </c>
      <c r="R145" s="96"/>
    </row>
    <row r="146" spans="1:18" ht="27.6" x14ac:dyDescent="0.3">
      <c r="A146" s="83" t="str">
        <f>IF(TRIM(H146)&lt;&gt;"",COUNTA(H$9:$H146)&amp;"","")</f>
        <v>100</v>
      </c>
      <c r="B146" s="84"/>
      <c r="C146" s="84"/>
      <c r="D146" s="85"/>
      <c r="E146" s="97" t="s">
        <v>513</v>
      </c>
      <c r="F146" s="87">
        <v>1</v>
      </c>
      <c r="G146" s="64">
        <f>5.167*7.34</f>
        <v>37.925779999999996</v>
      </c>
      <c r="H146" s="88" t="s">
        <v>232</v>
      </c>
      <c r="I146" s="89">
        <f t="shared" si="153"/>
        <v>0</v>
      </c>
      <c r="J146" s="90">
        <f t="shared" si="154"/>
        <v>1</v>
      </c>
      <c r="K146" s="91">
        <f t="shared" si="155"/>
        <v>0</v>
      </c>
      <c r="L146" s="92">
        <f t="shared" si="156"/>
        <v>0</v>
      </c>
      <c r="M146" s="93">
        <f t="shared" si="157"/>
        <v>0</v>
      </c>
      <c r="N146" s="94">
        <f t="shared" si="158"/>
        <v>0</v>
      </c>
      <c r="O146" s="94">
        <f t="shared" si="159"/>
        <v>0</v>
      </c>
      <c r="P146" s="92">
        <f t="shared" si="160"/>
        <v>0</v>
      </c>
      <c r="Q146" s="95">
        <f t="shared" si="161"/>
        <v>0</v>
      </c>
      <c r="R146" s="96"/>
    </row>
    <row r="147" spans="1:18" ht="27.6" x14ac:dyDescent="0.3">
      <c r="A147" s="83" t="str">
        <f>IF(TRIM(H147)&lt;&gt;"",COUNTA(H$9:$H147)&amp;"","")</f>
        <v>101</v>
      </c>
      <c r="B147" s="84"/>
      <c r="C147" s="84"/>
      <c r="D147" s="85"/>
      <c r="E147" s="97" t="s">
        <v>514</v>
      </c>
      <c r="F147" s="87">
        <v>1</v>
      </c>
      <c r="G147" s="64">
        <f>13.5*7.34</f>
        <v>99.09</v>
      </c>
      <c r="H147" s="88" t="s">
        <v>232</v>
      </c>
      <c r="I147" s="89">
        <f t="shared" si="153"/>
        <v>0</v>
      </c>
      <c r="J147" s="90">
        <f t="shared" si="154"/>
        <v>1</v>
      </c>
      <c r="K147" s="91">
        <f t="shared" si="155"/>
        <v>0</v>
      </c>
      <c r="L147" s="92">
        <f t="shared" si="156"/>
        <v>0</v>
      </c>
      <c r="M147" s="93">
        <f t="shared" si="157"/>
        <v>0</v>
      </c>
      <c r="N147" s="94">
        <f t="shared" si="158"/>
        <v>0</v>
      </c>
      <c r="O147" s="94">
        <f t="shared" si="159"/>
        <v>0</v>
      </c>
      <c r="P147" s="92">
        <f t="shared" si="160"/>
        <v>0</v>
      </c>
      <c r="Q147" s="95">
        <f t="shared" si="161"/>
        <v>0</v>
      </c>
      <c r="R147" s="96"/>
    </row>
    <row r="148" spans="1:18" s="113" customFormat="1" ht="19.2" customHeight="1" x14ac:dyDescent="0.3">
      <c r="A148" s="83" t="str">
        <f>IF(TRIM(H148)&lt;&gt;"",COUNTA(H$9:$H148)&amp;"","")</f>
        <v/>
      </c>
      <c r="B148" s="112"/>
      <c r="C148" s="112"/>
      <c r="D148" s="85" t="s">
        <v>86</v>
      </c>
      <c r="E148" s="157" t="s">
        <v>85</v>
      </c>
      <c r="F148" s="87"/>
      <c r="H148" s="88"/>
      <c r="I148" s="89" t="str">
        <f t="shared" ref="I148:I153" si="171">IF(F148=0,"",0)</f>
        <v/>
      </c>
      <c r="J148" s="90" t="str">
        <f t="shared" ref="J148:J153" si="172">IF(F148=0,"",F148+(F148*I148))</f>
        <v/>
      </c>
      <c r="K148" s="91" t="str">
        <f t="shared" ref="K148:K153" si="173">IF(F148=0,"",0)</f>
        <v/>
      </c>
      <c r="L148" s="92" t="str">
        <f t="shared" ref="L148:L153" si="174">IF(F148=0,"",K148*J148)</f>
        <v/>
      </c>
      <c r="M148" s="93" t="str">
        <f t="shared" ref="M148:M153" si="175">IF(F148=0,"",M$7)</f>
        <v/>
      </c>
      <c r="N148" s="94" t="str">
        <f t="shared" ref="N148:N153" si="176">IF(F148=0,"",0)</f>
        <v/>
      </c>
      <c r="O148" s="94" t="str">
        <f t="shared" ref="O148:O153" si="177">IF(F148=0,"",N148*J148)</f>
        <v/>
      </c>
      <c r="P148" s="92" t="str">
        <f t="shared" ref="P148:P153" si="178">IF(F148=0,"",O148*M148)</f>
        <v/>
      </c>
      <c r="Q148" s="95" t="str">
        <f t="shared" ref="Q148:Q153" si="179">IF(F148=0,"",L148+P148)</f>
        <v/>
      </c>
      <c r="R148" s="96"/>
    </row>
    <row r="149" spans="1:18" x14ac:dyDescent="0.3">
      <c r="A149" s="83" t="str">
        <f>IF(TRIM(H149)&lt;&gt;"",COUNTA(H$9:$H149)&amp;"","")</f>
        <v>102</v>
      </c>
      <c r="B149" s="84" t="s">
        <v>475</v>
      </c>
      <c r="C149" s="84"/>
      <c r="D149" s="85"/>
      <c r="E149" s="97" t="s">
        <v>524</v>
      </c>
      <c r="F149" s="87">
        <v>40</v>
      </c>
      <c r="H149" s="88" t="s">
        <v>232</v>
      </c>
      <c r="I149" s="89">
        <f t="shared" si="171"/>
        <v>0</v>
      </c>
      <c r="J149" s="90">
        <f t="shared" si="172"/>
        <v>40</v>
      </c>
      <c r="K149" s="91">
        <f t="shared" si="173"/>
        <v>0</v>
      </c>
      <c r="L149" s="92">
        <f t="shared" si="174"/>
        <v>0</v>
      </c>
      <c r="M149" s="93">
        <f t="shared" si="175"/>
        <v>0</v>
      </c>
      <c r="N149" s="94">
        <f t="shared" si="176"/>
        <v>0</v>
      </c>
      <c r="O149" s="94">
        <f t="shared" si="177"/>
        <v>0</v>
      </c>
      <c r="P149" s="92">
        <f t="shared" si="178"/>
        <v>0</v>
      </c>
      <c r="Q149" s="95">
        <f t="shared" si="179"/>
        <v>0</v>
      </c>
      <c r="R149" s="96"/>
    </row>
    <row r="150" spans="1:18" s="113" customFormat="1" ht="19.2" customHeight="1" x14ac:dyDescent="0.3">
      <c r="A150" s="83" t="str">
        <f>IF(TRIM(H150)&lt;&gt;"",COUNTA(H$9:$H150)&amp;"","")</f>
        <v/>
      </c>
      <c r="B150" s="112"/>
      <c r="C150" s="112"/>
      <c r="D150" s="85" t="s">
        <v>88</v>
      </c>
      <c r="E150" s="157" t="s">
        <v>87</v>
      </c>
      <c r="F150" s="87"/>
      <c r="H150" s="88"/>
      <c r="I150" s="89" t="str">
        <f t="shared" si="171"/>
        <v/>
      </c>
      <c r="J150" s="90" t="str">
        <f t="shared" si="172"/>
        <v/>
      </c>
      <c r="K150" s="91" t="str">
        <f t="shared" si="173"/>
        <v/>
      </c>
      <c r="L150" s="92" t="str">
        <f t="shared" si="174"/>
        <v/>
      </c>
      <c r="M150" s="93" t="str">
        <f t="shared" si="175"/>
        <v/>
      </c>
      <c r="N150" s="94" t="str">
        <f t="shared" si="176"/>
        <v/>
      </c>
      <c r="O150" s="94" t="str">
        <f t="shared" si="177"/>
        <v/>
      </c>
      <c r="P150" s="92" t="str">
        <f t="shared" si="178"/>
        <v/>
      </c>
      <c r="Q150" s="95" t="str">
        <f t="shared" si="179"/>
        <v/>
      </c>
      <c r="R150" s="96"/>
    </row>
    <row r="151" spans="1:18" x14ac:dyDescent="0.3">
      <c r="A151" s="83" t="str">
        <f>IF(TRIM(H151)&lt;&gt;"",COUNTA(H$9:$H151)&amp;"","")</f>
        <v>103</v>
      </c>
      <c r="B151" s="84" t="s">
        <v>395</v>
      </c>
      <c r="C151" s="84" t="s">
        <v>396</v>
      </c>
      <c r="D151" s="85"/>
      <c r="E151" s="97" t="s">
        <v>394</v>
      </c>
      <c r="F151" s="87">
        <v>45</v>
      </c>
      <c r="G151" s="64">
        <f>3.167*7*2</f>
        <v>44.337999999999994</v>
      </c>
      <c r="H151" s="88" t="s">
        <v>147</v>
      </c>
      <c r="I151" s="89">
        <f t="shared" si="171"/>
        <v>0</v>
      </c>
      <c r="J151" s="90">
        <f t="shared" si="172"/>
        <v>45</v>
      </c>
      <c r="K151" s="91">
        <f t="shared" si="173"/>
        <v>0</v>
      </c>
      <c r="L151" s="92">
        <f t="shared" si="174"/>
        <v>0</v>
      </c>
      <c r="M151" s="93">
        <f t="shared" si="175"/>
        <v>0</v>
      </c>
      <c r="N151" s="94">
        <f t="shared" si="176"/>
        <v>0</v>
      </c>
      <c r="O151" s="94">
        <f t="shared" si="177"/>
        <v>0</v>
      </c>
      <c r="P151" s="92">
        <f t="shared" si="178"/>
        <v>0</v>
      </c>
      <c r="Q151" s="95">
        <f t="shared" si="179"/>
        <v>0</v>
      </c>
      <c r="R151" s="96"/>
    </row>
    <row r="152" spans="1:18" x14ac:dyDescent="0.3">
      <c r="A152" s="83" t="str">
        <f>IF(TRIM(H152)&lt;&gt;"",COUNTA(H$9:$H152)&amp;"","")</f>
        <v>104</v>
      </c>
      <c r="B152" s="84" t="s">
        <v>488</v>
      </c>
      <c r="C152" s="84" t="s">
        <v>516</v>
      </c>
      <c r="D152" s="85"/>
      <c r="E152" s="97" t="s">
        <v>515</v>
      </c>
      <c r="F152" s="87">
        <v>15</v>
      </c>
      <c r="H152" s="88" t="s">
        <v>147</v>
      </c>
      <c r="I152" s="89">
        <f t="shared" si="171"/>
        <v>0</v>
      </c>
      <c r="J152" s="90">
        <f t="shared" si="172"/>
        <v>15</v>
      </c>
      <c r="K152" s="91">
        <f t="shared" si="173"/>
        <v>0</v>
      </c>
      <c r="L152" s="92">
        <f t="shared" si="174"/>
        <v>0</v>
      </c>
      <c r="M152" s="93">
        <f t="shared" si="175"/>
        <v>0</v>
      </c>
      <c r="N152" s="94">
        <f t="shared" si="176"/>
        <v>0</v>
      </c>
      <c r="O152" s="94">
        <f t="shared" si="177"/>
        <v>0</v>
      </c>
      <c r="P152" s="92">
        <f t="shared" si="178"/>
        <v>0</v>
      </c>
      <c r="Q152" s="95">
        <f t="shared" si="179"/>
        <v>0</v>
      </c>
      <c r="R152" s="96"/>
    </row>
    <row r="153" spans="1:18" ht="15" thickBot="1" x14ac:dyDescent="0.35">
      <c r="A153" s="83" t="str">
        <f>IF(TRIM(H153)&lt;&gt;"",COUNTA(H$9:$H153)&amp;"","")</f>
        <v/>
      </c>
      <c r="B153" s="98"/>
      <c r="C153" s="98"/>
      <c r="D153" s="85"/>
      <c r="E153" s="99"/>
      <c r="F153" s="87"/>
      <c r="H153" s="88"/>
      <c r="I153" s="89" t="str">
        <f t="shared" si="171"/>
        <v/>
      </c>
      <c r="J153" s="90" t="str">
        <f t="shared" si="172"/>
        <v/>
      </c>
      <c r="K153" s="91" t="str">
        <f t="shared" si="173"/>
        <v/>
      </c>
      <c r="L153" s="92" t="str">
        <f t="shared" si="174"/>
        <v/>
      </c>
      <c r="M153" s="93" t="str">
        <f t="shared" si="175"/>
        <v/>
      </c>
      <c r="N153" s="94" t="str">
        <f t="shared" si="176"/>
        <v/>
      </c>
      <c r="O153" s="94" t="str">
        <f t="shared" si="177"/>
        <v/>
      </c>
      <c r="P153" s="92" t="str">
        <f t="shared" si="178"/>
        <v/>
      </c>
      <c r="Q153" s="95" t="str">
        <f t="shared" si="179"/>
        <v/>
      </c>
      <c r="R153" s="96"/>
    </row>
    <row r="154" spans="1:18" s="111" customFormat="1" ht="16.2" thickBot="1" x14ac:dyDescent="0.35">
      <c r="A154" s="83" t="str">
        <f>IF(TRIM(H154)&lt;&gt;"",COUNTA(H$9:$H154)&amp;"","")</f>
        <v/>
      </c>
      <c r="B154" s="100"/>
      <c r="C154" s="100"/>
      <c r="D154" s="101"/>
      <c r="E154" s="102"/>
      <c r="F154" s="103"/>
      <c r="H154" s="104"/>
      <c r="I154" s="105" t="s">
        <v>12</v>
      </c>
      <c r="J154" s="106"/>
      <c r="K154" s="107">
        <f>SUM(L$131:L$153)</f>
        <v>0</v>
      </c>
      <c r="L154" s="211" t="s">
        <v>13</v>
      </c>
      <c r="M154" s="212"/>
      <c r="N154" s="108">
        <f>SUM(P$131:P$153)</f>
        <v>0</v>
      </c>
      <c r="O154" s="211" t="s">
        <v>42</v>
      </c>
      <c r="P154" s="212"/>
      <c r="Q154" s="109">
        <f>SUM(O$131:O$153)</f>
        <v>0</v>
      </c>
      <c r="R154" s="110">
        <f>SUM(Q$131:Q$153)</f>
        <v>0</v>
      </c>
    </row>
    <row r="155" spans="1:18" s="164" customFormat="1" ht="20.100000000000001" customHeight="1" x14ac:dyDescent="0.3">
      <c r="A155" s="160" t="str">
        <f>IF(TRIM(H155)&lt;&gt;"",COUNTA(H$9:$H155)&amp;"","")</f>
        <v/>
      </c>
      <c r="B155" s="161"/>
      <c r="C155" s="161"/>
      <c r="D155" s="162" t="s">
        <v>44</v>
      </c>
      <c r="E155" s="162" t="s">
        <v>89</v>
      </c>
      <c r="F155" s="163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5"/>
    </row>
    <row r="156" spans="1:18" s="113" customFormat="1" ht="19.2" customHeight="1" x14ac:dyDescent="0.3">
      <c r="A156" s="83" t="str">
        <f>IF(TRIM(H156)&lt;&gt;"",COUNTA(H$9:$H156)&amp;"","")</f>
        <v/>
      </c>
      <c r="B156" s="112"/>
      <c r="C156" s="112"/>
      <c r="D156" s="85" t="s">
        <v>206</v>
      </c>
      <c r="E156" s="157" t="s">
        <v>90</v>
      </c>
      <c r="F156" s="87"/>
      <c r="H156" s="88"/>
      <c r="I156" s="89" t="str">
        <f t="shared" ref="I156:I214" si="180">IF(F156=0,"",0)</f>
        <v/>
      </c>
      <c r="J156" s="90" t="str">
        <f t="shared" ref="J156:J214" si="181">IF(F156=0,"",F156+(F156*I156))</f>
        <v/>
      </c>
      <c r="K156" s="91" t="str">
        <f t="shared" ref="K156:K214" si="182">IF(F156=0,"",0)</f>
        <v/>
      </c>
      <c r="L156" s="92" t="str">
        <f t="shared" ref="L156:L214" si="183">IF(F156=0,"",K156*J156)</f>
        <v/>
      </c>
      <c r="M156" s="93" t="str">
        <f t="shared" ref="M156:M214" si="184">IF(F156=0,"",M$7)</f>
        <v/>
      </c>
      <c r="N156" s="94" t="str">
        <f t="shared" ref="N156:N214" si="185">IF(F156=0,"",0)</f>
        <v/>
      </c>
      <c r="O156" s="94" t="str">
        <f t="shared" ref="O156:O214" si="186">IF(F156=0,"",N156*J156)</f>
        <v/>
      </c>
      <c r="P156" s="92" t="str">
        <f t="shared" ref="P156:P214" si="187">IF(F156=0,"",O156*M156)</f>
        <v/>
      </c>
      <c r="Q156" s="95" t="str">
        <f t="shared" ref="Q156:Q214" si="188">IF(F156=0,"",L156+P156)</f>
        <v/>
      </c>
      <c r="R156" s="96"/>
    </row>
    <row r="157" spans="1:18" x14ac:dyDescent="0.3">
      <c r="A157" s="83" t="str">
        <f>IF(TRIM(H157)&lt;&gt;"",COUNTA(H$9:$H157)&amp;"","")</f>
        <v/>
      </c>
      <c r="B157" s="84" t="s">
        <v>348</v>
      </c>
      <c r="C157" s="84" t="s">
        <v>351</v>
      </c>
      <c r="D157" s="85"/>
      <c r="E157" s="148" t="s">
        <v>353</v>
      </c>
      <c r="F157" s="87"/>
      <c r="H157" s="88"/>
      <c r="I157" s="89" t="str">
        <f t="shared" si="180"/>
        <v/>
      </c>
      <c r="J157" s="90" t="str">
        <f t="shared" si="181"/>
        <v/>
      </c>
      <c r="K157" s="91" t="str">
        <f t="shared" si="182"/>
        <v/>
      </c>
      <c r="L157" s="92" t="str">
        <f t="shared" si="183"/>
        <v/>
      </c>
      <c r="M157" s="93" t="str">
        <f t="shared" si="184"/>
        <v/>
      </c>
      <c r="N157" s="94" t="str">
        <f t="shared" si="185"/>
        <v/>
      </c>
      <c r="O157" s="94" t="str">
        <f t="shared" si="186"/>
        <v/>
      </c>
      <c r="P157" s="92" t="str">
        <f t="shared" si="187"/>
        <v/>
      </c>
      <c r="Q157" s="95" t="str">
        <f t="shared" si="188"/>
        <v/>
      </c>
      <c r="R157" s="96"/>
    </row>
    <row r="158" spans="1:18" x14ac:dyDescent="0.3">
      <c r="A158" s="83" t="str">
        <f>IF(TRIM(H158)&lt;&gt;"",COUNTA(H$9:$H158)&amp;"","")</f>
        <v>105</v>
      </c>
      <c r="B158" s="84"/>
      <c r="C158" s="84"/>
      <c r="D158" s="85"/>
      <c r="E158" s="86" t="s">
        <v>354</v>
      </c>
      <c r="F158" s="87">
        <v>523</v>
      </c>
      <c r="G158" s="64">
        <f>695/1.33</f>
        <v>522.55639097744358</v>
      </c>
      <c r="H158" s="88" t="s">
        <v>175</v>
      </c>
      <c r="I158" s="89">
        <f t="shared" si="180"/>
        <v>0</v>
      </c>
      <c r="J158" s="90">
        <f t="shared" si="181"/>
        <v>523</v>
      </c>
      <c r="K158" s="91">
        <f t="shared" si="182"/>
        <v>0</v>
      </c>
      <c r="L158" s="92">
        <f t="shared" si="183"/>
        <v>0</v>
      </c>
      <c r="M158" s="93">
        <f t="shared" si="184"/>
        <v>0</v>
      </c>
      <c r="N158" s="94">
        <f t="shared" si="185"/>
        <v>0</v>
      </c>
      <c r="O158" s="94">
        <f t="shared" si="186"/>
        <v>0</v>
      </c>
      <c r="P158" s="92">
        <f t="shared" si="187"/>
        <v>0</v>
      </c>
      <c r="Q158" s="95">
        <f t="shared" si="188"/>
        <v>0</v>
      </c>
      <c r="R158" s="96"/>
    </row>
    <row r="159" spans="1:18" x14ac:dyDescent="0.3">
      <c r="A159" s="83" t="str">
        <f>IF(TRIM(H159)&lt;&gt;"",COUNTA(H$9:$H159)&amp;"","")</f>
        <v>106</v>
      </c>
      <c r="B159" s="84"/>
      <c r="C159" s="84"/>
      <c r="D159" s="85"/>
      <c r="E159" s="86" t="s">
        <v>355</v>
      </c>
      <c r="F159" s="87">
        <v>732</v>
      </c>
      <c r="G159" s="64">
        <f>15*10+43*9.5+16*8.5+37</f>
        <v>731.5</v>
      </c>
      <c r="H159" s="88" t="s">
        <v>147</v>
      </c>
      <c r="I159" s="89">
        <f t="shared" si="180"/>
        <v>0</v>
      </c>
      <c r="J159" s="90">
        <f t="shared" si="181"/>
        <v>732</v>
      </c>
      <c r="K159" s="91">
        <f t="shared" si="182"/>
        <v>0</v>
      </c>
      <c r="L159" s="92">
        <f t="shared" si="183"/>
        <v>0</v>
      </c>
      <c r="M159" s="93">
        <f t="shared" si="184"/>
        <v>0</v>
      </c>
      <c r="N159" s="94">
        <f t="shared" si="185"/>
        <v>0</v>
      </c>
      <c r="O159" s="94">
        <f t="shared" si="186"/>
        <v>0</v>
      </c>
      <c r="P159" s="92">
        <f t="shared" si="187"/>
        <v>0</v>
      </c>
      <c r="Q159" s="95">
        <f t="shared" si="188"/>
        <v>0</v>
      </c>
      <c r="R159" s="96"/>
    </row>
    <row r="160" spans="1:18" x14ac:dyDescent="0.3">
      <c r="A160" s="83" t="str">
        <f>IF(TRIM(H160)&lt;&gt;"",COUNTA(H$9:$H160)&amp;"","")</f>
        <v>107</v>
      </c>
      <c r="B160" s="84"/>
      <c r="C160" s="84"/>
      <c r="D160" s="85"/>
      <c r="E160" s="86" t="s">
        <v>359</v>
      </c>
      <c r="F160" s="87">
        <v>148</v>
      </c>
      <c r="G160" s="64">
        <f>15*2+43*2+16*2</f>
        <v>148</v>
      </c>
      <c r="H160" s="88" t="s">
        <v>175</v>
      </c>
      <c r="I160" s="89">
        <f t="shared" si="180"/>
        <v>0</v>
      </c>
      <c r="J160" s="90">
        <f t="shared" si="181"/>
        <v>148</v>
      </c>
      <c r="K160" s="91">
        <f t="shared" si="182"/>
        <v>0</v>
      </c>
      <c r="L160" s="92">
        <f t="shared" si="183"/>
        <v>0</v>
      </c>
      <c r="M160" s="93">
        <f t="shared" si="184"/>
        <v>0</v>
      </c>
      <c r="N160" s="94">
        <f t="shared" si="185"/>
        <v>0</v>
      </c>
      <c r="O160" s="94">
        <f t="shared" si="186"/>
        <v>0</v>
      </c>
      <c r="P160" s="92">
        <f t="shared" si="187"/>
        <v>0</v>
      </c>
      <c r="Q160" s="95">
        <f t="shared" si="188"/>
        <v>0</v>
      </c>
      <c r="R160" s="96"/>
    </row>
    <row r="161" spans="1:18" x14ac:dyDescent="0.3">
      <c r="A161" s="83" t="str">
        <f>IF(TRIM(H161)&lt;&gt;"",COUNTA(H$9:$H161)&amp;"","")</f>
        <v/>
      </c>
      <c r="B161" s="84"/>
      <c r="C161" s="84"/>
      <c r="D161" s="85"/>
      <c r="E161" s="148" t="s">
        <v>356</v>
      </c>
      <c r="F161" s="87"/>
      <c r="H161" s="88"/>
      <c r="I161" s="89" t="str">
        <f t="shared" si="180"/>
        <v/>
      </c>
      <c r="J161" s="90" t="str">
        <f t="shared" si="181"/>
        <v/>
      </c>
      <c r="K161" s="91" t="str">
        <f t="shared" si="182"/>
        <v/>
      </c>
      <c r="L161" s="92" t="str">
        <f t="shared" si="183"/>
        <v/>
      </c>
      <c r="M161" s="93" t="str">
        <f t="shared" si="184"/>
        <v/>
      </c>
      <c r="N161" s="94" t="str">
        <f t="shared" si="185"/>
        <v/>
      </c>
      <c r="O161" s="94" t="str">
        <f t="shared" si="186"/>
        <v/>
      </c>
      <c r="P161" s="92" t="str">
        <f t="shared" si="187"/>
        <v/>
      </c>
      <c r="Q161" s="95" t="str">
        <f t="shared" si="188"/>
        <v/>
      </c>
      <c r="R161" s="96"/>
    </row>
    <row r="162" spans="1:18" x14ac:dyDescent="0.3">
      <c r="A162" s="83" t="str">
        <f>IF(TRIM(H162)&lt;&gt;"",COUNTA(H$9:$H162)&amp;"","")</f>
        <v>108</v>
      </c>
      <c r="B162" s="84"/>
      <c r="C162" s="84"/>
      <c r="D162" s="85"/>
      <c r="E162" s="86" t="s">
        <v>357</v>
      </c>
      <c r="F162" s="87">
        <v>62</v>
      </c>
      <c r="G162" s="64">
        <f>31*2</f>
        <v>62</v>
      </c>
      <c r="H162" s="88" t="s">
        <v>175</v>
      </c>
      <c r="I162" s="89">
        <f t="shared" si="180"/>
        <v>0</v>
      </c>
      <c r="J162" s="90">
        <f t="shared" si="181"/>
        <v>62</v>
      </c>
      <c r="K162" s="91">
        <f t="shared" si="182"/>
        <v>0</v>
      </c>
      <c r="L162" s="92">
        <f t="shared" si="183"/>
        <v>0</v>
      </c>
      <c r="M162" s="93">
        <f t="shared" si="184"/>
        <v>0</v>
      </c>
      <c r="N162" s="94">
        <f t="shared" si="185"/>
        <v>0</v>
      </c>
      <c r="O162" s="94">
        <f t="shared" si="186"/>
        <v>0</v>
      </c>
      <c r="P162" s="92">
        <f t="shared" si="187"/>
        <v>0</v>
      </c>
      <c r="Q162" s="95">
        <f t="shared" si="188"/>
        <v>0</v>
      </c>
      <c r="R162" s="96"/>
    </row>
    <row r="163" spans="1:18" x14ac:dyDescent="0.3">
      <c r="A163" s="83" t="str">
        <f>IF(TRIM(H163)&lt;&gt;"",COUNTA(H$9:$H163)&amp;"","")</f>
        <v>109</v>
      </c>
      <c r="B163" s="84"/>
      <c r="C163" s="84"/>
      <c r="D163" s="85"/>
      <c r="E163" s="86" t="s">
        <v>358</v>
      </c>
      <c r="F163" s="87">
        <v>222</v>
      </c>
      <c r="G163" s="64">
        <f>31/1.33*9.5</f>
        <v>221.42857142857142</v>
      </c>
      <c r="H163" s="88" t="s">
        <v>175</v>
      </c>
      <c r="I163" s="89">
        <f t="shared" si="180"/>
        <v>0</v>
      </c>
      <c r="J163" s="90">
        <f t="shared" si="181"/>
        <v>222</v>
      </c>
      <c r="K163" s="91">
        <f t="shared" si="182"/>
        <v>0</v>
      </c>
      <c r="L163" s="92">
        <f t="shared" si="183"/>
        <v>0</v>
      </c>
      <c r="M163" s="93">
        <f t="shared" si="184"/>
        <v>0</v>
      </c>
      <c r="N163" s="94">
        <f t="shared" si="185"/>
        <v>0</v>
      </c>
      <c r="O163" s="94">
        <f t="shared" si="186"/>
        <v>0</v>
      </c>
      <c r="P163" s="92">
        <f t="shared" si="187"/>
        <v>0</v>
      </c>
      <c r="Q163" s="95">
        <f t="shared" si="188"/>
        <v>0</v>
      </c>
      <c r="R163" s="96"/>
    </row>
    <row r="164" spans="1:18" x14ac:dyDescent="0.3">
      <c r="A164" s="83" t="str">
        <f>IF(TRIM(H164)&lt;&gt;"",COUNTA(H$9:$H164)&amp;"","")</f>
        <v>110</v>
      </c>
      <c r="B164" s="84"/>
      <c r="C164" s="84"/>
      <c r="D164" s="85"/>
      <c r="E164" s="86" t="s">
        <v>355</v>
      </c>
      <c r="F164" s="87">
        <v>295</v>
      </c>
      <c r="G164" s="64">
        <f>31*9.5</f>
        <v>294.5</v>
      </c>
      <c r="H164" s="88" t="s">
        <v>147</v>
      </c>
      <c r="I164" s="89">
        <f t="shared" si="180"/>
        <v>0</v>
      </c>
      <c r="J164" s="90">
        <f t="shared" si="181"/>
        <v>295</v>
      </c>
      <c r="K164" s="91">
        <f t="shared" si="182"/>
        <v>0</v>
      </c>
      <c r="L164" s="92">
        <f t="shared" si="183"/>
        <v>0</v>
      </c>
      <c r="M164" s="93">
        <f t="shared" si="184"/>
        <v>0</v>
      </c>
      <c r="N164" s="94">
        <f t="shared" si="185"/>
        <v>0</v>
      </c>
      <c r="O164" s="94">
        <f t="shared" si="186"/>
        <v>0</v>
      </c>
      <c r="P164" s="92">
        <f t="shared" si="187"/>
        <v>0</v>
      </c>
      <c r="Q164" s="95">
        <f t="shared" si="188"/>
        <v>0</v>
      </c>
      <c r="R164" s="96"/>
    </row>
    <row r="165" spans="1:18" x14ac:dyDescent="0.3">
      <c r="A165" s="83" t="str">
        <f>IF(TRIM(H165)&lt;&gt;"",COUNTA(H$9:$H165)&amp;"","")</f>
        <v>111</v>
      </c>
      <c r="B165" s="84"/>
      <c r="C165" s="84"/>
      <c r="D165" s="85"/>
      <c r="E165" s="86" t="s">
        <v>359</v>
      </c>
      <c r="F165" s="87">
        <v>62</v>
      </c>
      <c r="G165" s="64">
        <f>31*2</f>
        <v>62</v>
      </c>
      <c r="H165" s="88" t="s">
        <v>175</v>
      </c>
      <c r="I165" s="89">
        <f t="shared" ref="I165:I171" si="189">IF(F165=0,"",0)</f>
        <v>0</v>
      </c>
      <c r="J165" s="90">
        <f t="shared" ref="J165:J171" si="190">IF(F165=0,"",F165+(F165*I165))</f>
        <v>62</v>
      </c>
      <c r="K165" s="91">
        <f t="shared" ref="K165:K171" si="191">IF(F165=0,"",0)</f>
        <v>0</v>
      </c>
      <c r="L165" s="92">
        <f t="shared" ref="L165:L171" si="192">IF(F165=0,"",K165*J165)</f>
        <v>0</v>
      </c>
      <c r="M165" s="93">
        <f t="shared" ref="M165:M171" si="193">IF(F165=0,"",M$7)</f>
        <v>0</v>
      </c>
      <c r="N165" s="94">
        <f t="shared" ref="N165:N171" si="194">IF(F165=0,"",0)</f>
        <v>0</v>
      </c>
      <c r="O165" s="94">
        <f t="shared" ref="O165:O171" si="195">IF(F165=0,"",N165*J165)</f>
        <v>0</v>
      </c>
      <c r="P165" s="92">
        <f t="shared" ref="P165:P171" si="196">IF(F165=0,"",O165*M165)</f>
        <v>0</v>
      </c>
      <c r="Q165" s="95">
        <f t="shared" ref="Q165:Q171" si="197">IF(F165=0,"",L165+P165)</f>
        <v>0</v>
      </c>
      <c r="R165" s="96"/>
    </row>
    <row r="166" spans="1:18" x14ac:dyDescent="0.3">
      <c r="A166" s="83" t="str">
        <f>IF(TRIM(H166)&lt;&gt;"",COUNTA(H$9:$H166)&amp;"","")</f>
        <v/>
      </c>
      <c r="B166" s="84"/>
      <c r="C166" s="84"/>
      <c r="D166" s="85"/>
      <c r="E166" s="148" t="s">
        <v>360</v>
      </c>
      <c r="F166" s="87"/>
      <c r="H166" s="88"/>
      <c r="I166" s="89" t="str">
        <f t="shared" si="189"/>
        <v/>
      </c>
      <c r="J166" s="90" t="str">
        <f t="shared" si="190"/>
        <v/>
      </c>
      <c r="K166" s="91" t="str">
        <f t="shared" si="191"/>
        <v/>
      </c>
      <c r="L166" s="92" t="str">
        <f t="shared" si="192"/>
        <v/>
      </c>
      <c r="M166" s="93" t="str">
        <f t="shared" si="193"/>
        <v/>
      </c>
      <c r="N166" s="94" t="str">
        <f t="shared" si="194"/>
        <v/>
      </c>
      <c r="O166" s="94" t="str">
        <f t="shared" si="195"/>
        <v/>
      </c>
      <c r="P166" s="92" t="str">
        <f t="shared" si="196"/>
        <v/>
      </c>
      <c r="Q166" s="95" t="str">
        <f t="shared" si="197"/>
        <v/>
      </c>
      <c r="R166" s="96"/>
    </row>
    <row r="167" spans="1:18" x14ac:dyDescent="0.3">
      <c r="A167" s="83" t="str">
        <f>IF(TRIM(H167)&lt;&gt;"",COUNTA(H$9:$H167)&amp;"","")</f>
        <v>112</v>
      </c>
      <c r="B167" s="84"/>
      <c r="C167" s="84"/>
      <c r="D167" s="85"/>
      <c r="E167" s="86" t="s">
        <v>362</v>
      </c>
      <c r="F167" s="87">
        <v>48</v>
      </c>
      <c r="G167" s="64">
        <f>24*2</f>
        <v>48</v>
      </c>
      <c r="H167" s="88" t="s">
        <v>175</v>
      </c>
      <c r="I167" s="89">
        <f t="shared" si="189"/>
        <v>0</v>
      </c>
      <c r="J167" s="90">
        <f t="shared" si="190"/>
        <v>48</v>
      </c>
      <c r="K167" s="91">
        <f t="shared" si="191"/>
        <v>0</v>
      </c>
      <c r="L167" s="92">
        <f t="shared" si="192"/>
        <v>0</v>
      </c>
      <c r="M167" s="93">
        <f t="shared" si="193"/>
        <v>0</v>
      </c>
      <c r="N167" s="94">
        <f t="shared" si="194"/>
        <v>0</v>
      </c>
      <c r="O167" s="94">
        <f t="shared" si="195"/>
        <v>0</v>
      </c>
      <c r="P167" s="92">
        <f t="shared" si="196"/>
        <v>0</v>
      </c>
      <c r="Q167" s="95">
        <f t="shared" si="197"/>
        <v>0</v>
      </c>
      <c r="R167" s="96"/>
    </row>
    <row r="168" spans="1:18" x14ac:dyDescent="0.3">
      <c r="A168" s="83" t="str">
        <f>IF(TRIM(H168)&lt;&gt;"",COUNTA(H$9:$H168)&amp;"","")</f>
        <v>113</v>
      </c>
      <c r="B168" s="84"/>
      <c r="C168" s="84"/>
      <c r="D168" s="85"/>
      <c r="E168" s="86" t="s">
        <v>363</v>
      </c>
      <c r="F168" s="87">
        <v>217</v>
      </c>
      <c r="G168" s="64">
        <f>24/1.33*12</f>
        <v>216.54135338345867</v>
      </c>
      <c r="H168" s="88" t="s">
        <v>175</v>
      </c>
      <c r="I168" s="89">
        <f t="shared" si="189"/>
        <v>0</v>
      </c>
      <c r="J168" s="90">
        <f t="shared" si="190"/>
        <v>217</v>
      </c>
      <c r="K168" s="91">
        <f t="shared" si="191"/>
        <v>0</v>
      </c>
      <c r="L168" s="92">
        <f t="shared" si="192"/>
        <v>0</v>
      </c>
      <c r="M168" s="93">
        <f t="shared" si="193"/>
        <v>0</v>
      </c>
      <c r="N168" s="94">
        <f t="shared" si="194"/>
        <v>0</v>
      </c>
      <c r="O168" s="94">
        <f t="shared" si="195"/>
        <v>0</v>
      </c>
      <c r="P168" s="92">
        <f t="shared" si="196"/>
        <v>0</v>
      </c>
      <c r="Q168" s="95">
        <f t="shared" si="197"/>
        <v>0</v>
      </c>
      <c r="R168" s="96"/>
    </row>
    <row r="169" spans="1:18" x14ac:dyDescent="0.3">
      <c r="A169" s="83" t="str">
        <f>IF(TRIM(H169)&lt;&gt;"",COUNTA(H$9:$H169)&amp;"","")</f>
        <v>114</v>
      </c>
      <c r="B169" s="84"/>
      <c r="C169" s="84"/>
      <c r="D169" s="85"/>
      <c r="E169" s="86" t="s">
        <v>361</v>
      </c>
      <c r="F169" s="87">
        <v>576</v>
      </c>
      <c r="G169" s="64">
        <f>24*12*2</f>
        <v>576</v>
      </c>
      <c r="H169" s="88" t="s">
        <v>147</v>
      </c>
      <c r="I169" s="89">
        <f t="shared" si="189"/>
        <v>0</v>
      </c>
      <c r="J169" s="90">
        <f t="shared" si="190"/>
        <v>576</v>
      </c>
      <c r="K169" s="91">
        <f t="shared" si="191"/>
        <v>0</v>
      </c>
      <c r="L169" s="92">
        <f t="shared" si="192"/>
        <v>0</v>
      </c>
      <c r="M169" s="93">
        <f t="shared" si="193"/>
        <v>0</v>
      </c>
      <c r="N169" s="94">
        <f t="shared" si="194"/>
        <v>0</v>
      </c>
      <c r="O169" s="94">
        <f t="shared" si="195"/>
        <v>0</v>
      </c>
      <c r="P169" s="92">
        <f t="shared" si="196"/>
        <v>0</v>
      </c>
      <c r="Q169" s="95">
        <f t="shared" si="197"/>
        <v>0</v>
      </c>
      <c r="R169" s="96"/>
    </row>
    <row r="170" spans="1:18" x14ac:dyDescent="0.3">
      <c r="A170" s="83" t="str">
        <f>IF(TRIM(H170)&lt;&gt;"",COUNTA(H$9:$H170)&amp;"","")</f>
        <v>115</v>
      </c>
      <c r="B170" s="84"/>
      <c r="C170" s="84"/>
      <c r="D170" s="85"/>
      <c r="E170" s="86" t="s">
        <v>364</v>
      </c>
      <c r="F170" s="87">
        <v>288</v>
      </c>
      <c r="G170" s="64">
        <f>24*12</f>
        <v>288</v>
      </c>
      <c r="H170" s="88" t="s">
        <v>147</v>
      </c>
      <c r="I170" s="89">
        <f t="shared" si="189"/>
        <v>0</v>
      </c>
      <c r="J170" s="90">
        <f t="shared" si="190"/>
        <v>288</v>
      </c>
      <c r="K170" s="91">
        <f t="shared" si="191"/>
        <v>0</v>
      </c>
      <c r="L170" s="92">
        <f t="shared" si="192"/>
        <v>0</v>
      </c>
      <c r="M170" s="93">
        <f t="shared" si="193"/>
        <v>0</v>
      </c>
      <c r="N170" s="94">
        <f t="shared" si="194"/>
        <v>0</v>
      </c>
      <c r="O170" s="94">
        <f t="shared" si="195"/>
        <v>0</v>
      </c>
      <c r="P170" s="92">
        <f t="shared" si="196"/>
        <v>0</v>
      </c>
      <c r="Q170" s="95">
        <f t="shared" si="197"/>
        <v>0</v>
      </c>
      <c r="R170" s="96"/>
    </row>
    <row r="171" spans="1:18" x14ac:dyDescent="0.3">
      <c r="A171" s="83" t="str">
        <f>IF(TRIM(H171)&lt;&gt;"",COUNTA(H$9:$H171)&amp;"","")</f>
        <v>116</v>
      </c>
      <c r="B171" s="84"/>
      <c r="C171" s="84"/>
      <c r="D171" s="85"/>
      <c r="E171" s="86" t="s">
        <v>365</v>
      </c>
      <c r="F171" s="87">
        <v>96</v>
      </c>
      <c r="G171" s="64">
        <f>24*4</f>
        <v>96</v>
      </c>
      <c r="H171" s="88" t="s">
        <v>175</v>
      </c>
      <c r="I171" s="89">
        <f t="shared" si="189"/>
        <v>0</v>
      </c>
      <c r="J171" s="90">
        <f t="shared" si="190"/>
        <v>96</v>
      </c>
      <c r="K171" s="91">
        <f t="shared" si="191"/>
        <v>0</v>
      </c>
      <c r="L171" s="92">
        <f t="shared" si="192"/>
        <v>0</v>
      </c>
      <c r="M171" s="93">
        <f t="shared" si="193"/>
        <v>0</v>
      </c>
      <c r="N171" s="94">
        <f t="shared" si="194"/>
        <v>0</v>
      </c>
      <c r="O171" s="94">
        <f t="shared" si="195"/>
        <v>0</v>
      </c>
      <c r="P171" s="92">
        <f t="shared" si="196"/>
        <v>0</v>
      </c>
      <c r="Q171" s="95">
        <f t="shared" si="197"/>
        <v>0</v>
      </c>
      <c r="R171" s="96"/>
    </row>
    <row r="172" spans="1:18" x14ac:dyDescent="0.3">
      <c r="A172" s="83" t="str">
        <f>IF(TRIM(H172)&lt;&gt;"",COUNTA(H$9:$H172)&amp;"","")</f>
        <v/>
      </c>
      <c r="B172" s="84"/>
      <c r="C172" s="84"/>
      <c r="D172" s="85"/>
      <c r="E172" s="148" t="s">
        <v>366</v>
      </c>
      <c r="F172" s="87"/>
      <c r="H172" s="88"/>
      <c r="I172" s="89" t="str">
        <f t="shared" si="180"/>
        <v/>
      </c>
      <c r="J172" s="90" t="str">
        <f t="shared" si="181"/>
        <v/>
      </c>
      <c r="K172" s="91" t="str">
        <f t="shared" si="182"/>
        <v/>
      </c>
      <c r="L172" s="92" t="str">
        <f t="shared" si="183"/>
        <v/>
      </c>
      <c r="M172" s="93" t="str">
        <f t="shared" si="184"/>
        <v/>
      </c>
      <c r="N172" s="94" t="str">
        <f t="shared" si="185"/>
        <v/>
      </c>
      <c r="O172" s="94" t="str">
        <f t="shared" si="186"/>
        <v/>
      </c>
      <c r="P172" s="92" t="str">
        <f t="shared" si="187"/>
        <v/>
      </c>
      <c r="Q172" s="95" t="str">
        <f t="shared" si="188"/>
        <v/>
      </c>
      <c r="R172" s="96"/>
    </row>
    <row r="173" spans="1:18" x14ac:dyDescent="0.3">
      <c r="A173" s="83" t="str">
        <f>IF(TRIM(H173)&lt;&gt;"",COUNTA(H$9:$H173)&amp;"","")</f>
        <v>117</v>
      </c>
      <c r="B173" s="84"/>
      <c r="C173" s="84"/>
      <c r="D173" s="85"/>
      <c r="E173" s="86" t="s">
        <v>362</v>
      </c>
      <c r="F173" s="87">
        <v>30</v>
      </c>
      <c r="G173" s="64">
        <f>15*2</f>
        <v>30</v>
      </c>
      <c r="H173" s="88" t="s">
        <v>175</v>
      </c>
      <c r="I173" s="89">
        <f t="shared" si="180"/>
        <v>0</v>
      </c>
      <c r="J173" s="90">
        <f t="shared" si="181"/>
        <v>30</v>
      </c>
      <c r="K173" s="91">
        <f t="shared" si="182"/>
        <v>0</v>
      </c>
      <c r="L173" s="92">
        <f t="shared" si="183"/>
        <v>0</v>
      </c>
      <c r="M173" s="93">
        <f t="shared" si="184"/>
        <v>0</v>
      </c>
      <c r="N173" s="94">
        <f t="shared" si="185"/>
        <v>0</v>
      </c>
      <c r="O173" s="94">
        <f t="shared" si="186"/>
        <v>0</v>
      </c>
      <c r="P173" s="92">
        <f t="shared" si="187"/>
        <v>0</v>
      </c>
      <c r="Q173" s="95">
        <f t="shared" si="188"/>
        <v>0</v>
      </c>
      <c r="R173" s="96"/>
    </row>
    <row r="174" spans="1:18" x14ac:dyDescent="0.3">
      <c r="A174" s="83" t="str">
        <f>IF(TRIM(H174)&lt;&gt;"",COUNTA(H$9:$H174)&amp;"","")</f>
        <v>118</v>
      </c>
      <c r="B174" s="84"/>
      <c r="C174" s="84"/>
      <c r="D174" s="85"/>
      <c r="E174" s="86" t="s">
        <v>363</v>
      </c>
      <c r="F174" s="87">
        <v>136</v>
      </c>
      <c r="G174" s="64">
        <f>15/1.33*12</f>
        <v>135.33834586466165</v>
      </c>
      <c r="H174" s="88" t="s">
        <v>175</v>
      </c>
      <c r="I174" s="89">
        <f t="shared" si="180"/>
        <v>0</v>
      </c>
      <c r="J174" s="90">
        <f t="shared" si="181"/>
        <v>136</v>
      </c>
      <c r="K174" s="91">
        <f t="shared" si="182"/>
        <v>0</v>
      </c>
      <c r="L174" s="92">
        <f t="shared" si="183"/>
        <v>0</v>
      </c>
      <c r="M174" s="93">
        <f t="shared" si="184"/>
        <v>0</v>
      </c>
      <c r="N174" s="94">
        <f t="shared" si="185"/>
        <v>0</v>
      </c>
      <c r="O174" s="94">
        <f t="shared" si="186"/>
        <v>0</v>
      </c>
      <c r="P174" s="92">
        <f t="shared" si="187"/>
        <v>0</v>
      </c>
      <c r="Q174" s="95">
        <f t="shared" si="188"/>
        <v>0</v>
      </c>
      <c r="R174" s="96"/>
    </row>
    <row r="175" spans="1:18" x14ac:dyDescent="0.3">
      <c r="A175" s="83" t="str">
        <f>IF(TRIM(H175)&lt;&gt;"",COUNTA(H$9:$H175)&amp;"","")</f>
        <v>119</v>
      </c>
      <c r="B175" s="84"/>
      <c r="C175" s="84"/>
      <c r="D175" s="85"/>
      <c r="E175" s="86" t="s">
        <v>367</v>
      </c>
      <c r="F175" s="87">
        <v>360</v>
      </c>
      <c r="G175" s="64">
        <f>15*12*2</f>
        <v>360</v>
      </c>
      <c r="H175" s="88" t="s">
        <v>147</v>
      </c>
      <c r="I175" s="89">
        <f t="shared" si="180"/>
        <v>0</v>
      </c>
      <c r="J175" s="90">
        <f t="shared" si="181"/>
        <v>360</v>
      </c>
      <c r="K175" s="91">
        <f t="shared" si="182"/>
        <v>0</v>
      </c>
      <c r="L175" s="92">
        <f t="shared" si="183"/>
        <v>0</v>
      </c>
      <c r="M175" s="93">
        <f t="shared" si="184"/>
        <v>0</v>
      </c>
      <c r="N175" s="94">
        <f t="shared" si="185"/>
        <v>0</v>
      </c>
      <c r="O175" s="94">
        <f t="shared" si="186"/>
        <v>0</v>
      </c>
      <c r="P175" s="92">
        <f t="shared" si="187"/>
        <v>0</v>
      </c>
      <c r="Q175" s="95">
        <f t="shared" si="188"/>
        <v>0</v>
      </c>
      <c r="R175" s="96"/>
    </row>
    <row r="176" spans="1:18" x14ac:dyDescent="0.3">
      <c r="A176" s="83" t="str">
        <f>IF(TRIM(H176)&lt;&gt;"",COUNTA(H$9:$H176)&amp;"","")</f>
        <v>120</v>
      </c>
      <c r="B176" s="84"/>
      <c r="C176" s="84"/>
      <c r="D176" s="85"/>
      <c r="E176" s="86" t="s">
        <v>364</v>
      </c>
      <c r="F176" s="87">
        <v>180</v>
      </c>
      <c r="G176" s="64">
        <f>15*12</f>
        <v>180</v>
      </c>
      <c r="H176" s="88" t="s">
        <v>147</v>
      </c>
      <c r="I176" s="89">
        <f t="shared" si="180"/>
        <v>0</v>
      </c>
      <c r="J176" s="90">
        <f t="shared" si="181"/>
        <v>180</v>
      </c>
      <c r="K176" s="91">
        <f t="shared" si="182"/>
        <v>0</v>
      </c>
      <c r="L176" s="92">
        <f t="shared" si="183"/>
        <v>0</v>
      </c>
      <c r="M176" s="93">
        <f t="shared" si="184"/>
        <v>0</v>
      </c>
      <c r="N176" s="94">
        <f t="shared" si="185"/>
        <v>0</v>
      </c>
      <c r="O176" s="94">
        <f t="shared" si="186"/>
        <v>0</v>
      </c>
      <c r="P176" s="92">
        <f t="shared" si="187"/>
        <v>0</v>
      </c>
      <c r="Q176" s="95">
        <f t="shared" si="188"/>
        <v>0</v>
      </c>
      <c r="R176" s="96"/>
    </row>
    <row r="177" spans="1:18" x14ac:dyDescent="0.3">
      <c r="A177" s="83" t="str">
        <f>IF(TRIM(H177)&lt;&gt;"",COUNTA(H$9:$H177)&amp;"","")</f>
        <v>121</v>
      </c>
      <c r="B177" s="84"/>
      <c r="C177" s="84"/>
      <c r="D177" s="85"/>
      <c r="E177" s="86" t="s">
        <v>365</v>
      </c>
      <c r="F177" s="87">
        <v>60</v>
      </c>
      <c r="G177" s="64">
        <f>15*4</f>
        <v>60</v>
      </c>
      <c r="H177" s="88" t="s">
        <v>175</v>
      </c>
      <c r="I177" s="89">
        <f t="shared" si="180"/>
        <v>0</v>
      </c>
      <c r="J177" s="90">
        <f t="shared" si="181"/>
        <v>60</v>
      </c>
      <c r="K177" s="91">
        <f t="shared" si="182"/>
        <v>0</v>
      </c>
      <c r="L177" s="92">
        <f t="shared" si="183"/>
        <v>0</v>
      </c>
      <c r="M177" s="93">
        <f t="shared" si="184"/>
        <v>0</v>
      </c>
      <c r="N177" s="94">
        <f t="shared" si="185"/>
        <v>0</v>
      </c>
      <c r="O177" s="94">
        <f t="shared" si="186"/>
        <v>0</v>
      </c>
      <c r="P177" s="92">
        <f t="shared" si="187"/>
        <v>0</v>
      </c>
      <c r="Q177" s="95">
        <f t="shared" si="188"/>
        <v>0</v>
      </c>
      <c r="R177" s="96"/>
    </row>
    <row r="178" spans="1:18" x14ac:dyDescent="0.3">
      <c r="A178" s="83" t="str">
        <f>IF(TRIM(H178)&lt;&gt;"",COUNTA(H$9:$H178)&amp;"","")</f>
        <v/>
      </c>
      <c r="B178" s="84"/>
      <c r="C178" s="84"/>
      <c r="D178" s="85"/>
      <c r="E178" s="148" t="s">
        <v>368</v>
      </c>
      <c r="F178" s="87"/>
      <c r="H178" s="88"/>
      <c r="I178" s="89" t="str">
        <f t="shared" ref="I178:I183" si="198">IF(F178=0,"",0)</f>
        <v/>
      </c>
      <c r="J178" s="90" t="str">
        <f t="shared" ref="J178:J183" si="199">IF(F178=0,"",F178+(F178*I178))</f>
        <v/>
      </c>
      <c r="K178" s="91" t="str">
        <f t="shared" ref="K178:K183" si="200">IF(F178=0,"",0)</f>
        <v/>
      </c>
      <c r="L178" s="92" t="str">
        <f t="shared" ref="L178:L183" si="201">IF(F178=0,"",K178*J178)</f>
        <v/>
      </c>
      <c r="M178" s="93" t="str">
        <f t="shared" ref="M178:M183" si="202">IF(F178=0,"",M$7)</f>
        <v/>
      </c>
      <c r="N178" s="94" t="str">
        <f t="shared" ref="N178:N183" si="203">IF(F178=0,"",0)</f>
        <v/>
      </c>
      <c r="O178" s="94" t="str">
        <f t="shared" ref="O178:O183" si="204">IF(F178=0,"",N178*J178)</f>
        <v/>
      </c>
      <c r="P178" s="92" t="str">
        <f t="shared" ref="P178:P183" si="205">IF(F178=0,"",O178*M178)</f>
        <v/>
      </c>
      <c r="Q178" s="95" t="str">
        <f t="shared" ref="Q178:Q183" si="206">IF(F178=0,"",L178+P178)</f>
        <v/>
      </c>
      <c r="R178" s="96"/>
    </row>
    <row r="179" spans="1:18" x14ac:dyDescent="0.3">
      <c r="A179" s="83" t="str">
        <f>IF(TRIM(H179)&lt;&gt;"",COUNTA(H$9:$H179)&amp;"","")</f>
        <v>122</v>
      </c>
      <c r="B179" s="84"/>
      <c r="C179" s="84"/>
      <c r="D179" s="85"/>
      <c r="E179" s="86" t="s">
        <v>370</v>
      </c>
      <c r="F179" s="87">
        <v>170</v>
      </c>
      <c r="G179" s="64">
        <f>85*2</f>
        <v>170</v>
      </c>
      <c r="H179" s="88" t="s">
        <v>175</v>
      </c>
      <c r="I179" s="89">
        <f t="shared" si="198"/>
        <v>0</v>
      </c>
      <c r="J179" s="90">
        <f t="shared" si="199"/>
        <v>170</v>
      </c>
      <c r="K179" s="91">
        <f t="shared" si="200"/>
        <v>0</v>
      </c>
      <c r="L179" s="92">
        <f t="shared" si="201"/>
        <v>0</v>
      </c>
      <c r="M179" s="93">
        <f t="shared" si="202"/>
        <v>0</v>
      </c>
      <c r="N179" s="94">
        <f t="shared" si="203"/>
        <v>0</v>
      </c>
      <c r="O179" s="94">
        <f t="shared" si="204"/>
        <v>0</v>
      </c>
      <c r="P179" s="92">
        <f t="shared" si="205"/>
        <v>0</v>
      </c>
      <c r="Q179" s="95">
        <f t="shared" si="206"/>
        <v>0</v>
      </c>
      <c r="R179" s="96"/>
    </row>
    <row r="180" spans="1:18" x14ac:dyDescent="0.3">
      <c r="A180" s="83" t="str">
        <f>IF(TRIM(H180)&lt;&gt;"",COUNTA(H$9:$H180)&amp;"","")</f>
        <v>123</v>
      </c>
      <c r="B180" s="84"/>
      <c r="C180" s="84"/>
      <c r="D180" s="85"/>
      <c r="E180" s="86" t="s">
        <v>371</v>
      </c>
      <c r="F180" s="87">
        <v>767</v>
      </c>
      <c r="G180" s="64">
        <f>85/1.33*12</f>
        <v>766.91729323308266</v>
      </c>
      <c r="H180" s="88" t="s">
        <v>175</v>
      </c>
      <c r="I180" s="89">
        <f t="shared" si="198"/>
        <v>0</v>
      </c>
      <c r="J180" s="90">
        <f t="shared" si="199"/>
        <v>767</v>
      </c>
      <c r="K180" s="91">
        <f t="shared" si="200"/>
        <v>0</v>
      </c>
      <c r="L180" s="92">
        <f t="shared" si="201"/>
        <v>0</v>
      </c>
      <c r="M180" s="93">
        <f t="shared" si="202"/>
        <v>0</v>
      </c>
      <c r="N180" s="94">
        <f t="shared" si="203"/>
        <v>0</v>
      </c>
      <c r="O180" s="94">
        <f t="shared" si="204"/>
        <v>0</v>
      </c>
      <c r="P180" s="92">
        <f t="shared" si="205"/>
        <v>0</v>
      </c>
      <c r="Q180" s="95">
        <f t="shared" si="206"/>
        <v>0</v>
      </c>
      <c r="R180" s="96"/>
    </row>
    <row r="181" spans="1:18" x14ac:dyDescent="0.3">
      <c r="A181" s="83" t="str">
        <f>IF(TRIM(H181)&lt;&gt;"",COUNTA(H$9:$H181)&amp;"","")</f>
        <v>124</v>
      </c>
      <c r="B181" s="84"/>
      <c r="C181" s="84"/>
      <c r="D181" s="85"/>
      <c r="E181" s="86" t="s">
        <v>361</v>
      </c>
      <c r="F181" s="87">
        <v>2040</v>
      </c>
      <c r="G181" s="64">
        <f>85*12*2</f>
        <v>2040</v>
      </c>
      <c r="H181" s="88" t="s">
        <v>147</v>
      </c>
      <c r="I181" s="89">
        <f t="shared" si="198"/>
        <v>0</v>
      </c>
      <c r="J181" s="90">
        <f t="shared" si="199"/>
        <v>2040</v>
      </c>
      <c r="K181" s="91">
        <f t="shared" si="200"/>
        <v>0</v>
      </c>
      <c r="L181" s="92">
        <f t="shared" si="201"/>
        <v>0</v>
      </c>
      <c r="M181" s="93">
        <f t="shared" si="202"/>
        <v>0</v>
      </c>
      <c r="N181" s="94">
        <f t="shared" si="203"/>
        <v>0</v>
      </c>
      <c r="O181" s="94">
        <f t="shared" si="204"/>
        <v>0</v>
      </c>
      <c r="P181" s="92">
        <f t="shared" si="205"/>
        <v>0</v>
      </c>
      <c r="Q181" s="95">
        <f t="shared" si="206"/>
        <v>0</v>
      </c>
      <c r="R181" s="96"/>
    </row>
    <row r="182" spans="1:18" x14ac:dyDescent="0.3">
      <c r="A182" s="83" t="str">
        <f>IF(TRIM(H182)&lt;&gt;"",COUNTA(H$9:$H182)&amp;"","")</f>
        <v>125</v>
      </c>
      <c r="B182" s="84"/>
      <c r="C182" s="84"/>
      <c r="D182" s="85"/>
      <c r="E182" s="86" t="s">
        <v>369</v>
      </c>
      <c r="F182" s="87">
        <v>1020</v>
      </c>
      <c r="G182" s="64">
        <f>85*12</f>
        <v>1020</v>
      </c>
      <c r="H182" s="88" t="s">
        <v>147</v>
      </c>
      <c r="I182" s="89">
        <f t="shared" si="198"/>
        <v>0</v>
      </c>
      <c r="J182" s="90">
        <f t="shared" si="199"/>
        <v>1020</v>
      </c>
      <c r="K182" s="91">
        <f t="shared" si="200"/>
        <v>0</v>
      </c>
      <c r="L182" s="92">
        <f t="shared" si="201"/>
        <v>0</v>
      </c>
      <c r="M182" s="93">
        <f t="shared" si="202"/>
        <v>0</v>
      </c>
      <c r="N182" s="94">
        <f t="shared" si="203"/>
        <v>0</v>
      </c>
      <c r="O182" s="94">
        <f t="shared" si="204"/>
        <v>0</v>
      </c>
      <c r="P182" s="92">
        <f t="shared" si="205"/>
        <v>0</v>
      </c>
      <c r="Q182" s="95">
        <f t="shared" si="206"/>
        <v>0</v>
      </c>
      <c r="R182" s="96"/>
    </row>
    <row r="183" spans="1:18" x14ac:dyDescent="0.3">
      <c r="A183" s="83" t="str">
        <f>IF(TRIM(H183)&lt;&gt;"",COUNTA(H$9:$H183)&amp;"","")</f>
        <v>126</v>
      </c>
      <c r="B183" s="84"/>
      <c r="C183" s="84"/>
      <c r="D183" s="85"/>
      <c r="E183" s="86" t="s">
        <v>365</v>
      </c>
      <c r="F183" s="87">
        <v>340</v>
      </c>
      <c r="G183" s="64">
        <f>85*4</f>
        <v>340</v>
      </c>
      <c r="H183" s="88" t="s">
        <v>175</v>
      </c>
      <c r="I183" s="89">
        <f t="shared" si="198"/>
        <v>0</v>
      </c>
      <c r="J183" s="90">
        <f t="shared" si="199"/>
        <v>340</v>
      </c>
      <c r="K183" s="91">
        <f t="shared" si="200"/>
        <v>0</v>
      </c>
      <c r="L183" s="92">
        <f t="shared" si="201"/>
        <v>0</v>
      </c>
      <c r="M183" s="93">
        <f t="shared" si="202"/>
        <v>0</v>
      </c>
      <c r="N183" s="94">
        <f t="shared" si="203"/>
        <v>0</v>
      </c>
      <c r="O183" s="94">
        <f t="shared" si="204"/>
        <v>0</v>
      </c>
      <c r="P183" s="92">
        <f t="shared" si="205"/>
        <v>0</v>
      </c>
      <c r="Q183" s="95">
        <f t="shared" si="206"/>
        <v>0</v>
      </c>
      <c r="R183" s="96"/>
    </row>
    <row r="184" spans="1:18" x14ac:dyDescent="0.3">
      <c r="A184" s="83" t="str">
        <f>IF(TRIM(H184)&lt;&gt;"",COUNTA(H$9:$H184)&amp;"","")</f>
        <v>127</v>
      </c>
      <c r="B184" s="84"/>
      <c r="C184" s="84"/>
      <c r="D184" s="114"/>
      <c r="E184" s="115" t="s">
        <v>54</v>
      </c>
      <c r="F184" s="87">
        <f>((4003/32)*10)/180</f>
        <v>6.9496527777777777</v>
      </c>
      <c r="H184" s="88" t="s">
        <v>51</v>
      </c>
      <c r="I184" s="89">
        <f t="shared" si="180"/>
        <v>0</v>
      </c>
      <c r="J184" s="90">
        <f t="shared" si="181"/>
        <v>6.9496527777777777</v>
      </c>
      <c r="K184" s="91">
        <v>12</v>
      </c>
      <c r="L184" s="92">
        <f t="shared" si="183"/>
        <v>83.395833333333329</v>
      </c>
      <c r="M184" s="93">
        <f t="shared" si="184"/>
        <v>0</v>
      </c>
      <c r="N184" s="94">
        <v>1.85</v>
      </c>
      <c r="O184" s="94">
        <f t="shared" si="186"/>
        <v>12.85685763888889</v>
      </c>
      <c r="P184" s="92">
        <f t="shared" si="187"/>
        <v>0</v>
      </c>
      <c r="Q184" s="95">
        <f t="shared" si="188"/>
        <v>83.395833333333329</v>
      </c>
      <c r="R184" s="116"/>
    </row>
    <row r="185" spans="1:18" x14ac:dyDescent="0.3">
      <c r="A185" s="83" t="str">
        <f>IF(TRIM(H185)&lt;&gt;"",COUNTA(H$9:$H185)&amp;"","")</f>
        <v>128</v>
      </c>
      <c r="B185" s="84"/>
      <c r="C185" s="84"/>
      <c r="D185" s="114"/>
      <c r="E185" s="115" t="s">
        <v>49</v>
      </c>
      <c r="F185" s="87">
        <f>(4003*0.053)/12</f>
        <v>17.679916666666667</v>
      </c>
      <c r="H185" s="88" t="s">
        <v>52</v>
      </c>
      <c r="I185" s="89">
        <f t="shared" si="180"/>
        <v>0</v>
      </c>
      <c r="J185" s="90">
        <f t="shared" si="181"/>
        <v>17.679916666666667</v>
      </c>
      <c r="K185" s="91">
        <v>35</v>
      </c>
      <c r="L185" s="92">
        <f t="shared" si="183"/>
        <v>618.79708333333338</v>
      </c>
      <c r="M185" s="93">
        <f t="shared" si="184"/>
        <v>0</v>
      </c>
      <c r="N185" s="94">
        <v>1.75</v>
      </c>
      <c r="O185" s="94">
        <f t="shared" si="186"/>
        <v>30.939854166666667</v>
      </c>
      <c r="P185" s="92">
        <f t="shared" si="187"/>
        <v>0</v>
      </c>
      <c r="Q185" s="95">
        <f t="shared" si="188"/>
        <v>618.79708333333338</v>
      </c>
      <c r="R185" s="116"/>
    </row>
    <row r="186" spans="1:18" x14ac:dyDescent="0.3">
      <c r="A186" s="83" t="str">
        <f>IF(TRIM(H186)&lt;&gt;"",COUNTA(H$9:$H186)&amp;"","")</f>
        <v>129</v>
      </c>
      <c r="B186" s="84"/>
      <c r="C186" s="84"/>
      <c r="D186" s="114"/>
      <c r="E186" s="115" t="s">
        <v>50</v>
      </c>
      <c r="F186" s="87">
        <f>((4003/32)*45)/244</f>
        <v>23.070568647540984</v>
      </c>
      <c r="H186" s="88" t="s">
        <v>53</v>
      </c>
      <c r="I186" s="89">
        <f t="shared" si="180"/>
        <v>0</v>
      </c>
      <c r="J186" s="90">
        <f t="shared" si="181"/>
        <v>23.070568647540984</v>
      </c>
      <c r="K186" s="91">
        <v>13.2</v>
      </c>
      <c r="L186" s="92">
        <f t="shared" si="183"/>
        <v>304.53150614754099</v>
      </c>
      <c r="M186" s="93">
        <f t="shared" si="184"/>
        <v>0</v>
      </c>
      <c r="N186" s="94">
        <v>1.5</v>
      </c>
      <c r="O186" s="94">
        <f t="shared" si="186"/>
        <v>34.605852971311478</v>
      </c>
      <c r="P186" s="92">
        <f t="shared" si="187"/>
        <v>0</v>
      </c>
      <c r="Q186" s="95">
        <f t="shared" si="188"/>
        <v>304.53150614754099</v>
      </c>
      <c r="R186" s="116"/>
    </row>
    <row r="187" spans="1:18" s="113" customFormat="1" ht="19.2" customHeight="1" x14ac:dyDescent="0.3">
      <c r="A187" s="83" t="str">
        <f>IF(TRIM(H187)&lt;&gt;"",COUNTA(H$9:$H187)&amp;"","")</f>
        <v/>
      </c>
      <c r="B187" s="112"/>
      <c r="C187" s="112"/>
      <c r="D187" s="85">
        <v>93013</v>
      </c>
      <c r="E187" s="157" t="s">
        <v>91</v>
      </c>
      <c r="F187" s="87"/>
      <c r="H187" s="88"/>
      <c r="I187" s="89" t="str">
        <f t="shared" si="180"/>
        <v/>
      </c>
      <c r="J187" s="90" t="str">
        <f t="shared" si="181"/>
        <v/>
      </c>
      <c r="K187" s="91" t="str">
        <f t="shared" si="182"/>
        <v/>
      </c>
      <c r="L187" s="92" t="str">
        <f t="shared" si="183"/>
        <v/>
      </c>
      <c r="M187" s="93" t="str">
        <f t="shared" si="184"/>
        <v/>
      </c>
      <c r="N187" s="94" t="str">
        <f t="shared" si="185"/>
        <v/>
      </c>
      <c r="O187" s="94" t="str">
        <f t="shared" si="186"/>
        <v/>
      </c>
      <c r="P187" s="92" t="str">
        <f t="shared" si="187"/>
        <v/>
      </c>
      <c r="Q187" s="95" t="str">
        <f t="shared" si="188"/>
        <v/>
      </c>
      <c r="R187" s="96"/>
    </row>
    <row r="188" spans="1:18" x14ac:dyDescent="0.3">
      <c r="A188" s="83" t="str">
        <f>IF(TRIM(H188)&lt;&gt;"",COUNTA(H$9:$H188)&amp;"","")</f>
        <v>130</v>
      </c>
      <c r="B188" s="84" t="s">
        <v>389</v>
      </c>
      <c r="C188" s="84" t="s">
        <v>383</v>
      </c>
      <c r="D188" s="85"/>
      <c r="E188" s="86" t="s">
        <v>449</v>
      </c>
      <c r="F188" s="87">
        <v>345</v>
      </c>
      <c r="G188" s="64">
        <f>15*8+28.5+7.67*25+3.5*0.67</f>
        <v>342.59500000000003</v>
      </c>
      <c r="H188" s="88" t="s">
        <v>147</v>
      </c>
      <c r="I188" s="89">
        <f t="shared" si="180"/>
        <v>0</v>
      </c>
      <c r="J188" s="90">
        <f t="shared" si="181"/>
        <v>345</v>
      </c>
      <c r="K188" s="91">
        <f t="shared" si="182"/>
        <v>0</v>
      </c>
      <c r="L188" s="92">
        <f t="shared" si="183"/>
        <v>0</v>
      </c>
      <c r="M188" s="93">
        <f t="shared" si="184"/>
        <v>0</v>
      </c>
      <c r="N188" s="94">
        <f t="shared" si="185"/>
        <v>0</v>
      </c>
      <c r="O188" s="94">
        <f t="shared" si="186"/>
        <v>0</v>
      </c>
      <c r="P188" s="92">
        <f t="shared" si="187"/>
        <v>0</v>
      </c>
      <c r="Q188" s="95">
        <f t="shared" si="188"/>
        <v>0</v>
      </c>
      <c r="R188" s="96"/>
    </row>
    <row r="189" spans="1:18" s="113" customFormat="1" ht="19.2" customHeight="1" x14ac:dyDescent="0.3">
      <c r="A189" s="83" t="str">
        <f>IF(TRIM(H189)&lt;&gt;"",COUNTA(H$9:$H189)&amp;"","")</f>
        <v/>
      </c>
      <c r="B189" s="112"/>
      <c r="C189" s="112"/>
      <c r="D189" s="85"/>
      <c r="E189" s="157" t="s">
        <v>92</v>
      </c>
      <c r="F189" s="87"/>
      <c r="H189" s="88"/>
      <c r="I189" s="89" t="str">
        <f t="shared" si="180"/>
        <v/>
      </c>
      <c r="J189" s="90" t="str">
        <f t="shared" si="181"/>
        <v/>
      </c>
      <c r="K189" s="91" t="str">
        <f t="shared" si="182"/>
        <v/>
      </c>
      <c r="L189" s="92" t="str">
        <f t="shared" si="183"/>
        <v/>
      </c>
      <c r="M189" s="93" t="str">
        <f t="shared" si="184"/>
        <v/>
      </c>
      <c r="N189" s="94" t="str">
        <f t="shared" si="185"/>
        <v/>
      </c>
      <c r="O189" s="94" t="str">
        <f t="shared" si="186"/>
        <v/>
      </c>
      <c r="P189" s="92" t="str">
        <f t="shared" si="187"/>
        <v/>
      </c>
      <c r="Q189" s="95" t="str">
        <f t="shared" si="188"/>
        <v/>
      </c>
      <c r="R189" s="96"/>
    </row>
    <row r="190" spans="1:18" ht="41.4" x14ac:dyDescent="0.3">
      <c r="A190" s="83" t="str">
        <f>IF(TRIM(H190)&lt;&gt;"",COUNTA(H$9:$H190)&amp;"","")</f>
        <v>131</v>
      </c>
      <c r="B190" s="84" t="s">
        <v>433</v>
      </c>
      <c r="C190" s="84" t="s">
        <v>383</v>
      </c>
      <c r="D190" s="85"/>
      <c r="E190" s="86" t="s">
        <v>450</v>
      </c>
      <c r="F190" s="87">
        <v>105</v>
      </c>
      <c r="H190" s="88" t="s">
        <v>147</v>
      </c>
      <c r="I190" s="89">
        <f t="shared" si="180"/>
        <v>0</v>
      </c>
      <c r="J190" s="90">
        <f t="shared" si="181"/>
        <v>105</v>
      </c>
      <c r="K190" s="91">
        <f t="shared" si="182"/>
        <v>0</v>
      </c>
      <c r="L190" s="92">
        <f t="shared" si="183"/>
        <v>0</v>
      </c>
      <c r="M190" s="93">
        <f t="shared" si="184"/>
        <v>0</v>
      </c>
      <c r="N190" s="94">
        <f t="shared" si="185"/>
        <v>0</v>
      </c>
      <c r="O190" s="94">
        <f t="shared" si="186"/>
        <v>0</v>
      </c>
      <c r="P190" s="92">
        <f t="shared" si="187"/>
        <v>0</v>
      </c>
      <c r="Q190" s="95">
        <f t="shared" si="188"/>
        <v>0</v>
      </c>
      <c r="R190" s="96"/>
    </row>
    <row r="191" spans="1:18" x14ac:dyDescent="0.3">
      <c r="A191" s="83" t="str">
        <f>IF(TRIM(H191)&lt;&gt;"",COUNTA(H$9:$H191)&amp;"","")</f>
        <v>132</v>
      </c>
      <c r="B191" s="84"/>
      <c r="C191" s="84"/>
      <c r="D191" s="85"/>
      <c r="E191" s="86" t="s">
        <v>434</v>
      </c>
      <c r="F191" s="87">
        <v>50</v>
      </c>
      <c r="H191" s="88" t="s">
        <v>175</v>
      </c>
      <c r="I191" s="89">
        <f t="shared" si="180"/>
        <v>0</v>
      </c>
      <c r="J191" s="90">
        <f t="shared" si="181"/>
        <v>50</v>
      </c>
      <c r="K191" s="91">
        <f t="shared" si="182"/>
        <v>0</v>
      </c>
      <c r="L191" s="92">
        <f t="shared" si="183"/>
        <v>0</v>
      </c>
      <c r="M191" s="93">
        <f t="shared" si="184"/>
        <v>0</v>
      </c>
      <c r="N191" s="94">
        <f t="shared" si="185"/>
        <v>0</v>
      </c>
      <c r="O191" s="94">
        <f t="shared" si="186"/>
        <v>0</v>
      </c>
      <c r="P191" s="92">
        <f t="shared" si="187"/>
        <v>0</v>
      </c>
      <c r="Q191" s="95">
        <f t="shared" si="188"/>
        <v>0</v>
      </c>
      <c r="R191" s="96"/>
    </row>
    <row r="192" spans="1:18" x14ac:dyDescent="0.3">
      <c r="A192" s="83" t="str">
        <f>IF(TRIM(H192)&lt;&gt;"",COUNTA(H$9:$H192)&amp;"","")</f>
        <v>133</v>
      </c>
      <c r="B192" s="84" t="s">
        <v>451</v>
      </c>
      <c r="C192" s="84" t="s">
        <v>453</v>
      </c>
      <c r="D192" s="85"/>
      <c r="E192" s="86" t="s">
        <v>452</v>
      </c>
      <c r="F192" s="87">
        <v>530</v>
      </c>
      <c r="G192" s="64">
        <f>585-55</f>
        <v>530</v>
      </c>
      <c r="H192" s="88" t="s">
        <v>147</v>
      </c>
      <c r="I192" s="89">
        <f t="shared" si="180"/>
        <v>0</v>
      </c>
      <c r="J192" s="90">
        <f t="shared" si="181"/>
        <v>530</v>
      </c>
      <c r="K192" s="91">
        <f t="shared" si="182"/>
        <v>0</v>
      </c>
      <c r="L192" s="92">
        <f t="shared" si="183"/>
        <v>0</v>
      </c>
      <c r="M192" s="93">
        <f t="shared" si="184"/>
        <v>0</v>
      </c>
      <c r="N192" s="94">
        <f t="shared" si="185"/>
        <v>0</v>
      </c>
      <c r="O192" s="94">
        <f t="shared" si="186"/>
        <v>0</v>
      </c>
      <c r="P192" s="92">
        <f t="shared" si="187"/>
        <v>0</v>
      </c>
      <c r="Q192" s="95">
        <f t="shared" si="188"/>
        <v>0</v>
      </c>
      <c r="R192" s="96"/>
    </row>
    <row r="193" spans="1:18" s="113" customFormat="1" ht="19.2" customHeight="1" x14ac:dyDescent="0.3">
      <c r="A193" s="83" t="str">
        <f>IF(TRIM(H193)&lt;&gt;"",COUNTA(H$9:$H193)&amp;"","")</f>
        <v/>
      </c>
      <c r="B193" s="112"/>
      <c r="C193" s="112"/>
      <c r="D193" s="85" t="s">
        <v>207</v>
      </c>
      <c r="E193" s="157" t="s">
        <v>420</v>
      </c>
      <c r="F193" s="87"/>
      <c r="H193" s="88"/>
      <c r="I193" s="89" t="str">
        <f t="shared" si="180"/>
        <v/>
      </c>
      <c r="J193" s="90" t="str">
        <f t="shared" si="181"/>
        <v/>
      </c>
      <c r="K193" s="91" t="str">
        <f t="shared" si="182"/>
        <v/>
      </c>
      <c r="L193" s="92" t="str">
        <f t="shared" si="183"/>
        <v/>
      </c>
      <c r="M193" s="93" t="str">
        <f t="shared" si="184"/>
        <v/>
      </c>
      <c r="N193" s="94" t="str">
        <f t="shared" si="185"/>
        <v/>
      </c>
      <c r="O193" s="94" t="str">
        <f t="shared" si="186"/>
        <v/>
      </c>
      <c r="P193" s="92" t="str">
        <f t="shared" si="187"/>
        <v/>
      </c>
      <c r="Q193" s="95" t="str">
        <f t="shared" si="188"/>
        <v/>
      </c>
      <c r="R193" s="96"/>
    </row>
    <row r="194" spans="1:18" x14ac:dyDescent="0.3">
      <c r="A194" s="83" t="str">
        <f>IF(TRIM(H194)&lt;&gt;"",COUNTA(H$9:$H194)&amp;"","")</f>
        <v>134</v>
      </c>
      <c r="B194" s="84" t="s">
        <v>419</v>
      </c>
      <c r="C194" s="84" t="s">
        <v>383</v>
      </c>
      <c r="D194" s="85"/>
      <c r="E194" s="86" t="s">
        <v>421</v>
      </c>
      <c r="F194" s="87">
        <v>165</v>
      </c>
      <c r="H194" s="88" t="s">
        <v>147</v>
      </c>
      <c r="I194" s="89">
        <f t="shared" si="180"/>
        <v>0</v>
      </c>
      <c r="J194" s="90">
        <f t="shared" si="181"/>
        <v>165</v>
      </c>
      <c r="K194" s="91">
        <f t="shared" si="182"/>
        <v>0</v>
      </c>
      <c r="L194" s="92">
        <f t="shared" si="183"/>
        <v>0</v>
      </c>
      <c r="M194" s="93">
        <f t="shared" si="184"/>
        <v>0</v>
      </c>
      <c r="N194" s="94">
        <f t="shared" si="185"/>
        <v>0</v>
      </c>
      <c r="O194" s="94">
        <f t="shared" si="186"/>
        <v>0</v>
      </c>
      <c r="P194" s="92">
        <f t="shared" si="187"/>
        <v>0</v>
      </c>
      <c r="Q194" s="95">
        <f t="shared" si="188"/>
        <v>0</v>
      </c>
      <c r="R194" s="96"/>
    </row>
    <row r="195" spans="1:18" x14ac:dyDescent="0.3">
      <c r="A195" s="83" t="str">
        <f>IF(TRIM(H195)&lt;&gt;"",COUNTA(H$9:$H195)&amp;"","")</f>
        <v>135</v>
      </c>
      <c r="B195" s="84" t="s">
        <v>419</v>
      </c>
      <c r="C195" s="84"/>
      <c r="D195" s="85"/>
      <c r="E195" s="86" t="s">
        <v>422</v>
      </c>
      <c r="F195" s="87">
        <v>8125</v>
      </c>
      <c r="H195" s="88" t="s">
        <v>147</v>
      </c>
      <c r="I195" s="89">
        <f t="shared" si="180"/>
        <v>0</v>
      </c>
      <c r="J195" s="90">
        <f t="shared" si="181"/>
        <v>8125</v>
      </c>
      <c r="K195" s="91">
        <f t="shared" si="182"/>
        <v>0</v>
      </c>
      <c r="L195" s="92">
        <f t="shared" si="183"/>
        <v>0</v>
      </c>
      <c r="M195" s="93">
        <f t="shared" si="184"/>
        <v>0</v>
      </c>
      <c r="N195" s="94">
        <f t="shared" si="185"/>
        <v>0</v>
      </c>
      <c r="O195" s="94">
        <f t="shared" si="186"/>
        <v>0</v>
      </c>
      <c r="P195" s="92">
        <f t="shared" si="187"/>
        <v>0</v>
      </c>
      <c r="Q195" s="95">
        <f t="shared" si="188"/>
        <v>0</v>
      </c>
      <c r="R195" s="96"/>
    </row>
    <row r="196" spans="1:18" s="113" customFormat="1" ht="19.2" customHeight="1" x14ac:dyDescent="0.3">
      <c r="A196" s="83" t="str">
        <f>IF(TRIM(H196)&lt;&gt;"",COUNTA(H$9:$H196)&amp;"","")</f>
        <v/>
      </c>
      <c r="B196" s="112"/>
      <c r="C196" s="112"/>
      <c r="D196" s="85" t="s">
        <v>209</v>
      </c>
      <c r="E196" s="157" t="s">
        <v>208</v>
      </c>
      <c r="F196" s="87"/>
      <c r="H196" s="88"/>
      <c r="I196" s="89" t="str">
        <f t="shared" ref="I196" si="207">IF(F196=0,"",0)</f>
        <v/>
      </c>
      <c r="J196" s="90" t="str">
        <f t="shared" ref="J196" si="208">IF(F196=0,"",F196+(F196*I196))</f>
        <v/>
      </c>
      <c r="K196" s="91" t="str">
        <f t="shared" ref="K196" si="209">IF(F196=0,"",0)</f>
        <v/>
      </c>
      <c r="L196" s="92" t="str">
        <f t="shared" ref="L196" si="210">IF(F196=0,"",K196*J196)</f>
        <v/>
      </c>
      <c r="M196" s="93" t="str">
        <f t="shared" ref="M196" si="211">IF(F196=0,"",M$7)</f>
        <v/>
      </c>
      <c r="N196" s="94" t="str">
        <f t="shared" ref="N196" si="212">IF(F196=0,"",0)</f>
        <v/>
      </c>
      <c r="O196" s="94" t="str">
        <f t="shared" ref="O196" si="213">IF(F196=0,"",N196*J196)</f>
        <v/>
      </c>
      <c r="P196" s="92" t="str">
        <f t="shared" ref="P196" si="214">IF(F196=0,"",O196*M196)</f>
        <v/>
      </c>
      <c r="Q196" s="95" t="str">
        <f t="shared" ref="Q196" si="215">IF(F196=0,"",L196+P196)</f>
        <v/>
      </c>
      <c r="R196" s="96"/>
    </row>
    <row r="197" spans="1:18" x14ac:dyDescent="0.3">
      <c r="A197" s="83" t="str">
        <f>IF(TRIM(H197)&lt;&gt;"",COUNTA(H$9:$H197)&amp;"","")</f>
        <v>136</v>
      </c>
      <c r="B197" s="84" t="s">
        <v>389</v>
      </c>
      <c r="C197" s="84"/>
      <c r="D197" s="85"/>
      <c r="E197" s="86" t="s">
        <v>435</v>
      </c>
      <c r="F197" s="87">
        <v>4780</v>
      </c>
      <c r="H197" s="88" t="s">
        <v>175</v>
      </c>
      <c r="I197" s="89">
        <f>IF(F197=0,"",0)</f>
        <v>0</v>
      </c>
      <c r="J197" s="90">
        <f>IF(F197=0,"",F197+(F197*I197))</f>
        <v>4780</v>
      </c>
      <c r="K197" s="91">
        <f>IF(F197=0,"",0)</f>
        <v>0</v>
      </c>
      <c r="L197" s="92">
        <f>IF(F197=0,"",K197*J197)</f>
        <v>0</v>
      </c>
      <c r="M197" s="93">
        <f>IF(F197=0,"",M$7)</f>
        <v>0</v>
      </c>
      <c r="N197" s="94">
        <f>IF(F197=0,"",0)</f>
        <v>0</v>
      </c>
      <c r="O197" s="94">
        <f>IF(F197=0,"",N197*J197)</f>
        <v>0</v>
      </c>
      <c r="P197" s="92">
        <f>IF(F197=0,"",O197*M197)</f>
        <v>0</v>
      </c>
      <c r="Q197" s="95">
        <f>IF(F197=0,"",L197+P197)</f>
        <v>0</v>
      </c>
      <c r="R197" s="96"/>
    </row>
    <row r="198" spans="1:18" s="113" customFormat="1" ht="19.2" customHeight="1" x14ac:dyDescent="0.3">
      <c r="A198" s="83" t="str">
        <f>IF(TRIM(H198)&lt;&gt;"",COUNTA(H$9:$H198)&amp;"","")</f>
        <v/>
      </c>
      <c r="B198" s="112"/>
      <c r="C198" s="112"/>
      <c r="D198" s="85" t="s">
        <v>94</v>
      </c>
      <c r="E198" s="157" t="s">
        <v>93</v>
      </c>
      <c r="F198" s="87"/>
      <c r="H198" s="88"/>
      <c r="I198" s="89" t="str">
        <f t="shared" si="180"/>
        <v/>
      </c>
      <c r="J198" s="90" t="str">
        <f t="shared" si="181"/>
        <v/>
      </c>
      <c r="K198" s="91" t="str">
        <f t="shared" si="182"/>
        <v/>
      </c>
      <c r="L198" s="92" t="str">
        <f t="shared" si="183"/>
        <v/>
      </c>
      <c r="M198" s="93" t="str">
        <f t="shared" si="184"/>
        <v/>
      </c>
      <c r="N198" s="94" t="str">
        <f t="shared" si="185"/>
        <v/>
      </c>
      <c r="O198" s="94" t="str">
        <f t="shared" si="186"/>
        <v/>
      </c>
      <c r="P198" s="92" t="str">
        <f t="shared" si="187"/>
        <v/>
      </c>
      <c r="Q198" s="95" t="str">
        <f t="shared" si="188"/>
        <v/>
      </c>
      <c r="R198" s="96"/>
    </row>
    <row r="199" spans="1:18" ht="27.6" x14ac:dyDescent="0.3">
      <c r="A199" s="83" t="str">
        <f>IF(TRIM(H199)&lt;&gt;"",COUNTA(H$9:$H199)&amp;"","")</f>
        <v>137</v>
      </c>
      <c r="B199" s="84" t="s">
        <v>425</v>
      </c>
      <c r="C199" s="84" t="s">
        <v>383</v>
      </c>
      <c r="D199" s="85"/>
      <c r="E199" s="86" t="s">
        <v>428</v>
      </c>
      <c r="F199" s="87">
        <v>23510</v>
      </c>
      <c r="H199" s="88" t="s">
        <v>147</v>
      </c>
      <c r="I199" s="89">
        <f t="shared" si="180"/>
        <v>0</v>
      </c>
      <c r="J199" s="90">
        <f t="shared" si="181"/>
        <v>23510</v>
      </c>
      <c r="K199" s="91">
        <f t="shared" si="182"/>
        <v>0</v>
      </c>
      <c r="L199" s="92">
        <f t="shared" si="183"/>
        <v>0</v>
      </c>
      <c r="M199" s="93">
        <f t="shared" si="184"/>
        <v>0</v>
      </c>
      <c r="N199" s="94">
        <f t="shared" si="185"/>
        <v>0</v>
      </c>
      <c r="O199" s="94">
        <f t="shared" si="186"/>
        <v>0</v>
      </c>
      <c r="P199" s="92">
        <f t="shared" si="187"/>
        <v>0</v>
      </c>
      <c r="Q199" s="95">
        <f t="shared" si="188"/>
        <v>0</v>
      </c>
      <c r="R199" s="96"/>
    </row>
    <row r="200" spans="1:18" x14ac:dyDescent="0.3">
      <c r="A200" s="83" t="str">
        <f>IF(TRIM(H200)&lt;&gt;"",COUNTA(H$9:$H200)&amp;"","")</f>
        <v>138</v>
      </c>
      <c r="B200" s="84" t="s">
        <v>427</v>
      </c>
      <c r="C200" s="84"/>
      <c r="D200" s="85"/>
      <c r="E200" s="86" t="s">
        <v>429</v>
      </c>
      <c r="F200" s="87">
        <v>715</v>
      </c>
      <c r="H200" s="88" t="s">
        <v>147</v>
      </c>
      <c r="I200" s="89">
        <f>IF(F200=0,"",0)</f>
        <v>0</v>
      </c>
      <c r="J200" s="90">
        <f>IF(F200=0,"",F200+(F200*I200))</f>
        <v>715</v>
      </c>
      <c r="K200" s="91">
        <f>IF(F200=0,"",0)</f>
        <v>0</v>
      </c>
      <c r="L200" s="92">
        <f>IF(F200=0,"",K200*J200)</f>
        <v>0</v>
      </c>
      <c r="M200" s="93">
        <f>IF(F200=0,"",M$7)</f>
        <v>0</v>
      </c>
      <c r="N200" s="94">
        <f>IF(F200=0,"",0)</f>
        <v>0</v>
      </c>
      <c r="O200" s="94">
        <f>IF(F200=0,"",N200*J200)</f>
        <v>0</v>
      </c>
      <c r="P200" s="92">
        <f>IF(F200=0,"",O200*M200)</f>
        <v>0</v>
      </c>
      <c r="Q200" s="95">
        <f>IF(F200=0,"",L200+P200)</f>
        <v>0</v>
      </c>
      <c r="R200" s="96"/>
    </row>
    <row r="201" spans="1:18" x14ac:dyDescent="0.3">
      <c r="A201" s="83" t="str">
        <f>IF(TRIM(H201)&lt;&gt;"",COUNTA(H$9:$H201)&amp;"","")</f>
        <v>139</v>
      </c>
      <c r="B201" s="84" t="s">
        <v>431</v>
      </c>
      <c r="C201" s="84"/>
      <c r="D201" s="85"/>
      <c r="E201" s="86" t="s">
        <v>432</v>
      </c>
      <c r="F201" s="87">
        <v>50</v>
      </c>
      <c r="H201" s="88" t="s">
        <v>147</v>
      </c>
      <c r="I201" s="89">
        <f t="shared" si="180"/>
        <v>0</v>
      </c>
      <c r="J201" s="90">
        <f t="shared" si="181"/>
        <v>50</v>
      </c>
      <c r="K201" s="91">
        <f t="shared" si="182"/>
        <v>0</v>
      </c>
      <c r="L201" s="92">
        <f t="shared" si="183"/>
        <v>0</v>
      </c>
      <c r="M201" s="93">
        <f t="shared" si="184"/>
        <v>0</v>
      </c>
      <c r="N201" s="94">
        <f t="shared" si="185"/>
        <v>0</v>
      </c>
      <c r="O201" s="94">
        <f t="shared" si="186"/>
        <v>0</v>
      </c>
      <c r="P201" s="92">
        <f t="shared" si="187"/>
        <v>0</v>
      </c>
      <c r="Q201" s="95">
        <f t="shared" si="188"/>
        <v>0</v>
      </c>
      <c r="R201" s="96"/>
    </row>
    <row r="202" spans="1:18" x14ac:dyDescent="0.3">
      <c r="A202" s="83" t="str">
        <f>IF(TRIM(H202)&lt;&gt;"",COUNTA(H$9:$H202)&amp;"","")</f>
        <v>140</v>
      </c>
      <c r="B202" s="84" t="s">
        <v>436</v>
      </c>
      <c r="C202" s="84" t="s">
        <v>442</v>
      </c>
      <c r="D202" s="85"/>
      <c r="E202" s="86" t="s">
        <v>437</v>
      </c>
      <c r="F202" s="87">
        <v>45</v>
      </c>
      <c r="H202" s="88" t="s">
        <v>175</v>
      </c>
      <c r="I202" s="89">
        <f t="shared" si="180"/>
        <v>0</v>
      </c>
      <c r="J202" s="90">
        <f t="shared" si="181"/>
        <v>45</v>
      </c>
      <c r="K202" s="91">
        <f t="shared" si="182"/>
        <v>0</v>
      </c>
      <c r="L202" s="92">
        <f t="shared" si="183"/>
        <v>0</v>
      </c>
      <c r="M202" s="93">
        <f t="shared" si="184"/>
        <v>0</v>
      </c>
      <c r="N202" s="94">
        <f t="shared" si="185"/>
        <v>0</v>
      </c>
      <c r="O202" s="94">
        <f t="shared" si="186"/>
        <v>0</v>
      </c>
      <c r="P202" s="92">
        <f t="shared" si="187"/>
        <v>0</v>
      </c>
      <c r="Q202" s="95">
        <f t="shared" si="188"/>
        <v>0</v>
      </c>
      <c r="R202" s="96"/>
    </row>
    <row r="203" spans="1:18" x14ac:dyDescent="0.3">
      <c r="A203" s="83" t="str">
        <f>IF(TRIM(H203)&lt;&gt;"",COUNTA(H$9:$H203)&amp;"","")</f>
        <v>141</v>
      </c>
      <c r="B203" s="84" t="s">
        <v>439</v>
      </c>
      <c r="C203" s="84" t="s">
        <v>443</v>
      </c>
      <c r="D203" s="85"/>
      <c r="E203" s="86" t="s">
        <v>438</v>
      </c>
      <c r="F203" s="87">
        <v>73</v>
      </c>
      <c r="H203" s="88" t="s">
        <v>175</v>
      </c>
      <c r="I203" s="89">
        <f t="shared" si="180"/>
        <v>0</v>
      </c>
      <c r="J203" s="90">
        <f t="shared" si="181"/>
        <v>73</v>
      </c>
      <c r="K203" s="91">
        <f t="shared" si="182"/>
        <v>0</v>
      </c>
      <c r="L203" s="92">
        <f t="shared" si="183"/>
        <v>0</v>
      </c>
      <c r="M203" s="93">
        <f t="shared" si="184"/>
        <v>0</v>
      </c>
      <c r="N203" s="94">
        <f t="shared" si="185"/>
        <v>0</v>
      </c>
      <c r="O203" s="94">
        <f t="shared" si="186"/>
        <v>0</v>
      </c>
      <c r="P203" s="92">
        <f t="shared" si="187"/>
        <v>0</v>
      </c>
      <c r="Q203" s="95">
        <f t="shared" si="188"/>
        <v>0</v>
      </c>
      <c r="R203" s="96"/>
    </row>
    <row r="204" spans="1:18" x14ac:dyDescent="0.3">
      <c r="A204" s="83" t="str">
        <f>IF(TRIM(H204)&lt;&gt;"",COUNTA(H$9:$H204)&amp;"","")</f>
        <v>142</v>
      </c>
      <c r="B204" s="84" t="s">
        <v>431</v>
      </c>
      <c r="C204" s="84" t="s">
        <v>440</v>
      </c>
      <c r="D204" s="85"/>
      <c r="E204" s="86" t="s">
        <v>441</v>
      </c>
      <c r="F204" s="87">
        <v>60</v>
      </c>
      <c r="H204" s="88" t="s">
        <v>175</v>
      </c>
      <c r="I204" s="89">
        <f t="shared" si="180"/>
        <v>0</v>
      </c>
      <c r="J204" s="90">
        <f t="shared" si="181"/>
        <v>60</v>
      </c>
      <c r="K204" s="91">
        <f t="shared" si="182"/>
        <v>0</v>
      </c>
      <c r="L204" s="92">
        <f t="shared" si="183"/>
        <v>0</v>
      </c>
      <c r="M204" s="93">
        <f t="shared" si="184"/>
        <v>0</v>
      </c>
      <c r="N204" s="94">
        <f t="shared" si="185"/>
        <v>0</v>
      </c>
      <c r="O204" s="94">
        <f t="shared" si="186"/>
        <v>0</v>
      </c>
      <c r="P204" s="92">
        <f t="shared" si="187"/>
        <v>0</v>
      </c>
      <c r="Q204" s="95">
        <f t="shared" si="188"/>
        <v>0</v>
      </c>
      <c r="R204" s="96"/>
    </row>
    <row r="205" spans="1:18" x14ac:dyDescent="0.3">
      <c r="A205" s="83" t="str">
        <f>IF(TRIM(H205)&lt;&gt;"",COUNTA(H$9:$H205)&amp;"","")</f>
        <v>143</v>
      </c>
      <c r="B205" s="84" t="s">
        <v>445</v>
      </c>
      <c r="C205" s="84" t="s">
        <v>446</v>
      </c>
      <c r="D205" s="85"/>
      <c r="E205" s="86" t="s">
        <v>444</v>
      </c>
      <c r="F205" s="87">
        <v>3</v>
      </c>
      <c r="H205" s="88" t="s">
        <v>175</v>
      </c>
      <c r="I205" s="89">
        <f t="shared" ref="I205:I206" si="216">IF(F205=0,"",0)</f>
        <v>0</v>
      </c>
      <c r="J205" s="90">
        <f t="shared" ref="J205:J206" si="217">IF(F205=0,"",F205+(F205*I205))</f>
        <v>3</v>
      </c>
      <c r="K205" s="91">
        <f t="shared" ref="K205:K206" si="218">IF(F205=0,"",0)</f>
        <v>0</v>
      </c>
      <c r="L205" s="92">
        <f t="shared" ref="L205:L206" si="219">IF(F205=0,"",K205*J205)</f>
        <v>0</v>
      </c>
      <c r="M205" s="93">
        <f t="shared" ref="M205:M206" si="220">IF(F205=0,"",M$7)</f>
        <v>0</v>
      </c>
      <c r="N205" s="94">
        <f t="shared" ref="N205:N206" si="221">IF(F205=0,"",0)</f>
        <v>0</v>
      </c>
      <c r="O205" s="94">
        <f t="shared" ref="O205:O206" si="222">IF(F205=0,"",N205*J205)</f>
        <v>0</v>
      </c>
      <c r="P205" s="92">
        <f t="shared" ref="P205:P206" si="223">IF(F205=0,"",O205*M205)</f>
        <v>0</v>
      </c>
      <c r="Q205" s="95">
        <f t="shared" ref="Q205:Q206" si="224">IF(F205=0,"",L205+P205)</f>
        <v>0</v>
      </c>
      <c r="R205" s="96"/>
    </row>
    <row r="206" spans="1:18" x14ac:dyDescent="0.3">
      <c r="A206" s="83" t="str">
        <f>IF(TRIM(H206)&lt;&gt;"",COUNTA(H$9:$H206)&amp;"","")</f>
        <v>144</v>
      </c>
      <c r="B206" s="84" t="s">
        <v>448</v>
      </c>
      <c r="C206" s="84"/>
      <c r="D206" s="85"/>
      <c r="E206" s="86" t="s">
        <v>447</v>
      </c>
      <c r="F206" s="87">
        <v>82</v>
      </c>
      <c r="H206" s="88" t="s">
        <v>175</v>
      </c>
      <c r="I206" s="89">
        <f t="shared" si="216"/>
        <v>0</v>
      </c>
      <c r="J206" s="90">
        <f t="shared" si="217"/>
        <v>82</v>
      </c>
      <c r="K206" s="91">
        <f t="shared" si="218"/>
        <v>0</v>
      </c>
      <c r="L206" s="92">
        <f t="shared" si="219"/>
        <v>0</v>
      </c>
      <c r="M206" s="93">
        <f t="shared" si="220"/>
        <v>0</v>
      </c>
      <c r="N206" s="94">
        <f t="shared" si="221"/>
        <v>0</v>
      </c>
      <c r="O206" s="94">
        <f t="shared" si="222"/>
        <v>0</v>
      </c>
      <c r="P206" s="92">
        <f t="shared" si="223"/>
        <v>0</v>
      </c>
      <c r="Q206" s="95">
        <f t="shared" si="224"/>
        <v>0</v>
      </c>
      <c r="R206" s="96"/>
    </row>
    <row r="207" spans="1:18" s="113" customFormat="1" ht="19.2" customHeight="1" x14ac:dyDescent="0.3">
      <c r="A207" s="83" t="str">
        <f>IF(TRIM(H207)&lt;&gt;"",COUNTA(H$9:$H207)&amp;"","")</f>
        <v/>
      </c>
      <c r="B207" s="112"/>
      <c r="C207" s="112"/>
      <c r="D207" s="85"/>
      <c r="E207" s="157" t="s">
        <v>95</v>
      </c>
      <c r="F207" s="87"/>
      <c r="H207" s="88"/>
      <c r="I207" s="89" t="str">
        <f t="shared" si="180"/>
        <v/>
      </c>
      <c r="J207" s="90" t="str">
        <f t="shared" si="181"/>
        <v/>
      </c>
      <c r="K207" s="91" t="str">
        <f t="shared" si="182"/>
        <v/>
      </c>
      <c r="L207" s="92" t="str">
        <f t="shared" si="183"/>
        <v/>
      </c>
      <c r="M207" s="93" t="str">
        <f t="shared" si="184"/>
        <v/>
      </c>
      <c r="N207" s="94" t="str">
        <f t="shared" si="185"/>
        <v/>
      </c>
      <c r="O207" s="94" t="str">
        <f t="shared" si="186"/>
        <v/>
      </c>
      <c r="P207" s="92" t="str">
        <f t="shared" si="187"/>
        <v/>
      </c>
      <c r="Q207" s="95" t="str">
        <f t="shared" si="188"/>
        <v/>
      </c>
      <c r="R207" s="96"/>
    </row>
    <row r="208" spans="1:18" ht="96.6" x14ac:dyDescent="0.3">
      <c r="A208" s="83" t="str">
        <f>IF(TRIM(H208)&lt;&gt;"",COUNTA(H$9:$H208)&amp;"","")</f>
        <v>145</v>
      </c>
      <c r="B208" s="84" t="s">
        <v>451</v>
      </c>
      <c r="C208" s="84" t="s">
        <v>457</v>
      </c>
      <c r="D208" s="85" t="s">
        <v>340</v>
      </c>
      <c r="E208" s="86" t="s">
        <v>454</v>
      </c>
      <c r="F208" s="87">
        <v>520</v>
      </c>
      <c r="G208" s="64">
        <f>480+106*0.34</f>
        <v>516.04</v>
      </c>
      <c r="H208" s="88" t="s">
        <v>147</v>
      </c>
      <c r="I208" s="89">
        <f>IF(F208=0,"",0)</f>
        <v>0</v>
      </c>
      <c r="J208" s="90">
        <f>IF(F208=0,"",F208+(F208*I208))</f>
        <v>520</v>
      </c>
      <c r="K208" s="91">
        <f>IF(F208=0,"",0)</f>
        <v>0</v>
      </c>
      <c r="L208" s="92">
        <f>IF(F208=0,"",K208*J208)</f>
        <v>0</v>
      </c>
      <c r="M208" s="93">
        <f>IF(F208=0,"",M$7)</f>
        <v>0</v>
      </c>
      <c r="N208" s="94">
        <f>IF(F208=0,"",0)</f>
        <v>0</v>
      </c>
      <c r="O208" s="94">
        <f>IF(F208=0,"",N208*J208)</f>
        <v>0</v>
      </c>
      <c r="P208" s="92">
        <f>IF(F208=0,"",O208*M208)</f>
        <v>0</v>
      </c>
      <c r="Q208" s="95">
        <f>IF(F208=0,"",L208+P208)</f>
        <v>0</v>
      </c>
      <c r="R208" s="96"/>
    </row>
    <row r="209" spans="1:18" ht="96.6" x14ac:dyDescent="0.3">
      <c r="A209" s="83" t="str">
        <f>IF(TRIM(H209)&lt;&gt;"",COUNTA(H$9:$H209)&amp;"","")</f>
        <v>146</v>
      </c>
      <c r="B209" s="84" t="s">
        <v>451</v>
      </c>
      <c r="C209" s="84" t="s">
        <v>456</v>
      </c>
      <c r="D209" s="85"/>
      <c r="E209" s="86" t="s">
        <v>455</v>
      </c>
      <c r="F209" s="87">
        <v>55</v>
      </c>
      <c r="H209" s="88" t="s">
        <v>147</v>
      </c>
      <c r="I209" s="89">
        <f t="shared" si="180"/>
        <v>0</v>
      </c>
      <c r="J209" s="90">
        <f t="shared" si="181"/>
        <v>55</v>
      </c>
      <c r="K209" s="91">
        <f t="shared" si="182"/>
        <v>0</v>
      </c>
      <c r="L209" s="92">
        <f t="shared" si="183"/>
        <v>0</v>
      </c>
      <c r="M209" s="93">
        <f t="shared" si="184"/>
        <v>0</v>
      </c>
      <c r="N209" s="94">
        <f t="shared" si="185"/>
        <v>0</v>
      </c>
      <c r="O209" s="94">
        <f t="shared" si="186"/>
        <v>0</v>
      </c>
      <c r="P209" s="92">
        <f t="shared" si="187"/>
        <v>0</v>
      </c>
      <c r="Q209" s="95">
        <f t="shared" si="188"/>
        <v>0</v>
      </c>
      <c r="R209" s="96"/>
    </row>
    <row r="210" spans="1:18" s="113" customFormat="1" ht="19.2" customHeight="1" x14ac:dyDescent="0.3">
      <c r="A210" s="83" t="str">
        <f>IF(TRIM(H210)&lt;&gt;"",COUNTA(H$9:$H210)&amp;"","")</f>
        <v/>
      </c>
      <c r="B210" s="112"/>
      <c r="C210" s="112"/>
      <c r="D210" s="85" t="s">
        <v>97</v>
      </c>
      <c r="E210" s="157" t="s">
        <v>96</v>
      </c>
      <c r="F210" s="87"/>
      <c r="H210" s="88"/>
      <c r="I210" s="89" t="str">
        <f t="shared" si="180"/>
        <v/>
      </c>
      <c r="J210" s="90" t="str">
        <f t="shared" si="181"/>
        <v/>
      </c>
      <c r="K210" s="91" t="str">
        <f t="shared" si="182"/>
        <v/>
      </c>
      <c r="L210" s="92" t="str">
        <f t="shared" si="183"/>
        <v/>
      </c>
      <c r="M210" s="93" t="str">
        <f t="shared" si="184"/>
        <v/>
      </c>
      <c r="N210" s="94" t="str">
        <f t="shared" si="185"/>
        <v/>
      </c>
      <c r="O210" s="94" t="str">
        <f t="shared" si="186"/>
        <v/>
      </c>
      <c r="P210" s="92" t="str">
        <f t="shared" si="187"/>
        <v/>
      </c>
      <c r="Q210" s="95" t="str">
        <f t="shared" si="188"/>
        <v/>
      </c>
      <c r="R210" s="96"/>
    </row>
    <row r="211" spans="1:18" x14ac:dyDescent="0.3">
      <c r="A211" s="83" t="str">
        <f>IF(TRIM(H211)&lt;&gt;"",COUNTA(H$9:$H211)&amp;"","")</f>
        <v>147</v>
      </c>
      <c r="B211" s="84" t="s">
        <v>426</v>
      </c>
      <c r="C211" s="84" t="s">
        <v>383</v>
      </c>
      <c r="D211" s="85"/>
      <c r="E211" s="86" t="s">
        <v>430</v>
      </c>
      <c r="F211" s="87">
        <v>5170</v>
      </c>
      <c r="H211" s="88" t="s">
        <v>147</v>
      </c>
      <c r="I211" s="89">
        <f t="shared" si="180"/>
        <v>0</v>
      </c>
      <c r="J211" s="90">
        <f t="shared" si="181"/>
        <v>5170</v>
      </c>
      <c r="K211" s="91">
        <f t="shared" si="182"/>
        <v>0</v>
      </c>
      <c r="L211" s="92">
        <f t="shared" si="183"/>
        <v>0</v>
      </c>
      <c r="M211" s="93">
        <f t="shared" si="184"/>
        <v>0</v>
      </c>
      <c r="N211" s="94">
        <f t="shared" si="185"/>
        <v>0</v>
      </c>
      <c r="O211" s="94">
        <f t="shared" si="186"/>
        <v>0</v>
      </c>
      <c r="P211" s="92">
        <f t="shared" si="187"/>
        <v>0</v>
      </c>
      <c r="Q211" s="95">
        <f t="shared" si="188"/>
        <v>0</v>
      </c>
      <c r="R211" s="96"/>
    </row>
    <row r="212" spans="1:18" s="113" customFormat="1" ht="19.2" customHeight="1" x14ac:dyDescent="0.3">
      <c r="A212" s="83" t="str">
        <f>IF(TRIM(H212)&lt;&gt;"",COUNTA(H$9:$H212)&amp;"","")</f>
        <v/>
      </c>
      <c r="B212" s="112"/>
      <c r="C212" s="112"/>
      <c r="D212" s="85"/>
      <c r="E212" s="157" t="s">
        <v>98</v>
      </c>
      <c r="F212" s="87"/>
      <c r="H212" s="88"/>
      <c r="I212" s="89" t="str">
        <f t="shared" si="180"/>
        <v/>
      </c>
      <c r="J212" s="90" t="str">
        <f t="shared" si="181"/>
        <v/>
      </c>
      <c r="K212" s="91" t="str">
        <f t="shared" si="182"/>
        <v/>
      </c>
      <c r="L212" s="92" t="str">
        <f t="shared" si="183"/>
        <v/>
      </c>
      <c r="M212" s="93" t="str">
        <f t="shared" si="184"/>
        <v/>
      </c>
      <c r="N212" s="94" t="str">
        <f t="shared" si="185"/>
        <v/>
      </c>
      <c r="O212" s="94" t="str">
        <f t="shared" si="186"/>
        <v/>
      </c>
      <c r="P212" s="92" t="str">
        <f t="shared" si="187"/>
        <v/>
      </c>
      <c r="Q212" s="95" t="str">
        <f t="shared" si="188"/>
        <v/>
      </c>
      <c r="R212" s="96"/>
    </row>
    <row r="213" spans="1:18" x14ac:dyDescent="0.3">
      <c r="A213" s="83" t="str">
        <f>IF(TRIM(H213)&lt;&gt;"",COUNTA(H$9:$H213)&amp;"","")</f>
        <v>148</v>
      </c>
      <c r="B213" s="84" t="s">
        <v>382</v>
      </c>
      <c r="C213" s="84" t="s">
        <v>383</v>
      </c>
      <c r="D213" s="85"/>
      <c r="E213" s="86" t="s">
        <v>381</v>
      </c>
      <c r="F213" s="87">
        <v>37</v>
      </c>
      <c r="H213" s="88" t="s">
        <v>147</v>
      </c>
      <c r="I213" s="89">
        <f t="shared" si="180"/>
        <v>0</v>
      </c>
      <c r="J213" s="90">
        <f t="shared" si="181"/>
        <v>37</v>
      </c>
      <c r="K213" s="91">
        <f t="shared" si="182"/>
        <v>0</v>
      </c>
      <c r="L213" s="92">
        <f t="shared" si="183"/>
        <v>0</v>
      </c>
      <c r="M213" s="93">
        <f t="shared" si="184"/>
        <v>0</v>
      </c>
      <c r="N213" s="94">
        <f t="shared" si="185"/>
        <v>0</v>
      </c>
      <c r="O213" s="94">
        <f t="shared" si="186"/>
        <v>0</v>
      </c>
      <c r="P213" s="92">
        <f t="shared" si="187"/>
        <v>0</v>
      </c>
      <c r="Q213" s="95">
        <f t="shared" si="188"/>
        <v>0</v>
      </c>
      <c r="R213" s="96"/>
    </row>
    <row r="214" spans="1:18" x14ac:dyDescent="0.3">
      <c r="A214" s="83" t="str">
        <f>IF(TRIM(H214)&lt;&gt;"",COUNTA(H$9:$H214)&amp;"","")</f>
        <v>149</v>
      </c>
      <c r="B214" s="84" t="s">
        <v>462</v>
      </c>
      <c r="C214" s="84"/>
      <c r="D214" s="85"/>
      <c r="E214" s="86" t="s">
        <v>461</v>
      </c>
      <c r="F214" s="87">
        <v>440</v>
      </c>
      <c r="H214" s="88" t="s">
        <v>147</v>
      </c>
      <c r="I214" s="89">
        <f t="shared" si="180"/>
        <v>0</v>
      </c>
      <c r="J214" s="90">
        <f t="shared" si="181"/>
        <v>440</v>
      </c>
      <c r="K214" s="91">
        <f t="shared" si="182"/>
        <v>0</v>
      </c>
      <c r="L214" s="92">
        <f t="shared" si="183"/>
        <v>0</v>
      </c>
      <c r="M214" s="93">
        <f t="shared" si="184"/>
        <v>0</v>
      </c>
      <c r="N214" s="94">
        <f t="shared" si="185"/>
        <v>0</v>
      </c>
      <c r="O214" s="94">
        <f t="shared" si="186"/>
        <v>0</v>
      </c>
      <c r="P214" s="92">
        <f t="shared" si="187"/>
        <v>0</v>
      </c>
      <c r="Q214" s="95">
        <f t="shared" si="188"/>
        <v>0</v>
      </c>
      <c r="R214" s="96"/>
    </row>
    <row r="215" spans="1:18" s="113" customFormat="1" ht="19.2" customHeight="1" x14ac:dyDescent="0.3">
      <c r="A215" s="83" t="str">
        <f>IF(TRIM(H215)&lt;&gt;"",COUNTA(H$9:$H215)&amp;"","")</f>
        <v/>
      </c>
      <c r="B215" s="112"/>
      <c r="C215" s="112"/>
      <c r="D215" s="85" t="s">
        <v>211</v>
      </c>
      <c r="E215" s="157" t="s">
        <v>210</v>
      </c>
      <c r="F215" s="87"/>
      <c r="H215" s="88"/>
      <c r="I215" s="89" t="str">
        <f t="shared" ref="I215:I217" si="225">IF(F215=0,"",0)</f>
        <v/>
      </c>
      <c r="J215" s="90" t="str">
        <f t="shared" ref="J215:J217" si="226">IF(F215=0,"",F215+(F215*I215))</f>
        <v/>
      </c>
      <c r="K215" s="91" t="str">
        <f t="shared" ref="K215:K217" si="227">IF(F215=0,"",0)</f>
        <v/>
      </c>
      <c r="L215" s="92" t="str">
        <f t="shared" ref="L215:L217" si="228">IF(F215=0,"",K215*J215)</f>
        <v/>
      </c>
      <c r="M215" s="93" t="str">
        <f t="shared" ref="M215:M217" si="229">IF(F215=0,"",M$7)</f>
        <v/>
      </c>
      <c r="N215" s="94" t="str">
        <f t="shared" ref="N215:N217" si="230">IF(F215=0,"",0)</f>
        <v/>
      </c>
      <c r="O215" s="94" t="str">
        <f t="shared" ref="O215:O217" si="231">IF(F215=0,"",N215*J215)</f>
        <v/>
      </c>
      <c r="P215" s="92" t="str">
        <f t="shared" ref="P215:P217" si="232">IF(F215=0,"",O215*M215)</f>
        <v/>
      </c>
      <c r="Q215" s="95" t="str">
        <f t="shared" ref="Q215:Q217" si="233">IF(F215=0,"",L215+P215)</f>
        <v/>
      </c>
      <c r="R215" s="96"/>
    </row>
    <row r="216" spans="1:18" x14ac:dyDescent="0.3">
      <c r="A216" s="83" t="str">
        <f>IF(TRIM(H216)&lt;&gt;"",COUNTA(H$9:$H216)&amp;"","")</f>
        <v>150</v>
      </c>
      <c r="B216" s="84" t="s">
        <v>382</v>
      </c>
      <c r="C216" s="84" t="s">
        <v>383</v>
      </c>
      <c r="D216" s="85"/>
      <c r="E216" s="86" t="s">
        <v>458</v>
      </c>
      <c r="F216" s="87">
        <v>130</v>
      </c>
      <c r="H216" s="88" t="s">
        <v>147</v>
      </c>
      <c r="I216" s="89">
        <f t="shared" si="225"/>
        <v>0</v>
      </c>
      <c r="J216" s="90">
        <f t="shared" si="226"/>
        <v>130</v>
      </c>
      <c r="K216" s="91">
        <f t="shared" si="227"/>
        <v>0</v>
      </c>
      <c r="L216" s="92">
        <f t="shared" si="228"/>
        <v>0</v>
      </c>
      <c r="M216" s="93">
        <f t="shared" si="229"/>
        <v>0</v>
      </c>
      <c r="N216" s="94">
        <f t="shared" si="230"/>
        <v>0</v>
      </c>
      <c r="O216" s="94">
        <f t="shared" si="231"/>
        <v>0</v>
      </c>
      <c r="P216" s="92">
        <f t="shared" si="232"/>
        <v>0</v>
      </c>
      <c r="Q216" s="95">
        <f t="shared" si="233"/>
        <v>0</v>
      </c>
      <c r="R216" s="96"/>
    </row>
    <row r="217" spans="1:18" x14ac:dyDescent="0.3">
      <c r="A217" s="83" t="str">
        <f>IF(TRIM(H217)&lt;&gt;"",COUNTA(H$9:$H217)&amp;"","")</f>
        <v>151</v>
      </c>
      <c r="B217" s="84" t="s">
        <v>460</v>
      </c>
      <c r="C217" s="84"/>
      <c r="D217" s="85"/>
      <c r="E217" s="86" t="s">
        <v>459</v>
      </c>
      <c r="F217" s="87">
        <v>130</v>
      </c>
      <c r="H217" s="88" t="s">
        <v>147</v>
      </c>
      <c r="I217" s="89">
        <f t="shared" si="225"/>
        <v>0</v>
      </c>
      <c r="J217" s="90">
        <f t="shared" si="226"/>
        <v>130</v>
      </c>
      <c r="K217" s="91">
        <f t="shared" si="227"/>
        <v>0</v>
      </c>
      <c r="L217" s="92">
        <f t="shared" si="228"/>
        <v>0</v>
      </c>
      <c r="M217" s="93">
        <f t="shared" si="229"/>
        <v>0</v>
      </c>
      <c r="N217" s="94">
        <f t="shared" si="230"/>
        <v>0</v>
      </c>
      <c r="O217" s="94">
        <f t="shared" si="231"/>
        <v>0</v>
      </c>
      <c r="P217" s="92">
        <f t="shared" si="232"/>
        <v>0</v>
      </c>
      <c r="Q217" s="95">
        <f t="shared" si="233"/>
        <v>0</v>
      </c>
      <c r="R217" s="96"/>
    </row>
    <row r="218" spans="1:18" s="113" customFormat="1" ht="19.2" customHeight="1" x14ac:dyDescent="0.3">
      <c r="A218" s="83" t="str">
        <f>IF(TRIM(H218)&lt;&gt;"",COUNTA(H$9:$H218)&amp;"","")</f>
        <v/>
      </c>
      <c r="B218" s="112"/>
      <c r="C218" s="112"/>
      <c r="D218" s="85"/>
      <c r="E218" s="157" t="s">
        <v>99</v>
      </c>
      <c r="F218" s="87"/>
      <c r="H218" s="88"/>
      <c r="I218" s="89" t="str">
        <f t="shared" ref="I218:I228" si="234">IF(F218=0,"",0)</f>
        <v/>
      </c>
      <c r="J218" s="90" t="str">
        <f t="shared" ref="J218:J229" si="235">IF(F218=0,"",F218+(F218*I218))</f>
        <v/>
      </c>
      <c r="K218" s="91" t="str">
        <f t="shared" ref="K218:K229" si="236">IF(F218=0,"",0)</f>
        <v/>
      </c>
      <c r="L218" s="92" t="str">
        <f t="shared" ref="L218:L229" si="237">IF(F218=0,"",K218*J218)</f>
        <v/>
      </c>
      <c r="M218" s="93" t="str">
        <f t="shared" ref="M218:M229" si="238">IF(F218=0,"",M$7)</f>
        <v/>
      </c>
      <c r="N218" s="94" t="str">
        <f t="shared" ref="N218:N229" si="239">IF(F218=0,"",0)</f>
        <v/>
      </c>
      <c r="O218" s="94" t="str">
        <f t="shared" ref="O218:O229" si="240">IF(F218=0,"",N218*J218)</f>
        <v/>
      </c>
      <c r="P218" s="92" t="str">
        <f t="shared" ref="P218:P229" si="241">IF(F218=0,"",O218*M218)</f>
        <v/>
      </c>
      <c r="Q218" s="95" t="str">
        <f t="shared" ref="Q218:Q229" si="242">IF(F218=0,"",L218+P218)</f>
        <v/>
      </c>
      <c r="R218" s="96"/>
    </row>
    <row r="219" spans="1:18" x14ac:dyDescent="0.3">
      <c r="A219" s="83" t="str">
        <f>IF(TRIM(H219)&lt;&gt;"",COUNTA(H$9:$H219)&amp;"","")</f>
        <v>152</v>
      </c>
      <c r="B219" s="84" t="s">
        <v>464</v>
      </c>
      <c r="C219" s="84" t="s">
        <v>465</v>
      </c>
      <c r="D219" s="85"/>
      <c r="E219" s="86" t="s">
        <v>463</v>
      </c>
      <c r="F219" s="87">
        <v>71</v>
      </c>
      <c r="H219" s="88" t="s">
        <v>147</v>
      </c>
      <c r="I219" s="89">
        <f t="shared" si="234"/>
        <v>0</v>
      </c>
      <c r="J219" s="90">
        <f t="shared" si="235"/>
        <v>71</v>
      </c>
      <c r="K219" s="91">
        <f t="shared" si="236"/>
        <v>0</v>
      </c>
      <c r="L219" s="92">
        <f t="shared" si="237"/>
        <v>0</v>
      </c>
      <c r="M219" s="93">
        <f t="shared" si="238"/>
        <v>0</v>
      </c>
      <c r="N219" s="94">
        <f t="shared" si="239"/>
        <v>0</v>
      </c>
      <c r="O219" s="94">
        <f t="shared" si="240"/>
        <v>0</v>
      </c>
      <c r="P219" s="92">
        <f t="shared" si="241"/>
        <v>0</v>
      </c>
      <c r="Q219" s="95">
        <f t="shared" si="242"/>
        <v>0</v>
      </c>
      <c r="R219" s="96"/>
    </row>
    <row r="220" spans="1:18" x14ac:dyDescent="0.3">
      <c r="A220" s="83" t="str">
        <f>IF(TRIM(H220)&lt;&gt;"",COUNTA(H$9:$H220)&amp;"","")</f>
        <v>153</v>
      </c>
      <c r="B220" s="84" t="s">
        <v>464</v>
      </c>
      <c r="C220" s="84" t="s">
        <v>393</v>
      </c>
      <c r="D220" s="85"/>
      <c r="E220" s="86" t="s">
        <v>466</v>
      </c>
      <c r="F220" s="87">
        <v>120</v>
      </c>
      <c r="H220" s="88" t="s">
        <v>175</v>
      </c>
      <c r="I220" s="89">
        <f t="shared" si="234"/>
        <v>0</v>
      </c>
      <c r="J220" s="90">
        <f t="shared" si="235"/>
        <v>120</v>
      </c>
      <c r="K220" s="91">
        <f t="shared" si="236"/>
        <v>0</v>
      </c>
      <c r="L220" s="92">
        <f t="shared" si="237"/>
        <v>0</v>
      </c>
      <c r="M220" s="93">
        <f t="shared" si="238"/>
        <v>0</v>
      </c>
      <c r="N220" s="94">
        <f t="shared" si="239"/>
        <v>0</v>
      </c>
      <c r="O220" s="94">
        <f t="shared" si="240"/>
        <v>0</v>
      </c>
      <c r="P220" s="92">
        <f t="shared" si="241"/>
        <v>0</v>
      </c>
      <c r="Q220" s="95">
        <f t="shared" si="242"/>
        <v>0</v>
      </c>
      <c r="R220" s="96"/>
    </row>
    <row r="221" spans="1:18" x14ac:dyDescent="0.3">
      <c r="A221" s="83" t="str">
        <f>IF(TRIM(H221)&lt;&gt;"",COUNTA(H$9:$H221)&amp;"","")</f>
        <v>154</v>
      </c>
      <c r="B221" s="84" t="s">
        <v>468</v>
      </c>
      <c r="C221" s="84" t="s">
        <v>305</v>
      </c>
      <c r="D221" s="85"/>
      <c r="E221" s="86" t="s">
        <v>467</v>
      </c>
      <c r="F221" s="87">
        <v>40</v>
      </c>
      <c r="H221" s="88" t="s">
        <v>175</v>
      </c>
      <c r="I221" s="89">
        <f t="shared" si="234"/>
        <v>0</v>
      </c>
      <c r="J221" s="90">
        <f t="shared" si="235"/>
        <v>40</v>
      </c>
      <c r="K221" s="91">
        <f t="shared" si="236"/>
        <v>0</v>
      </c>
      <c r="L221" s="92">
        <f t="shared" si="237"/>
        <v>0</v>
      </c>
      <c r="M221" s="93">
        <f t="shared" si="238"/>
        <v>0</v>
      </c>
      <c r="N221" s="94">
        <f t="shared" si="239"/>
        <v>0</v>
      </c>
      <c r="O221" s="94">
        <f t="shared" si="240"/>
        <v>0</v>
      </c>
      <c r="P221" s="92">
        <f t="shared" si="241"/>
        <v>0</v>
      </c>
      <c r="Q221" s="95">
        <f t="shared" si="242"/>
        <v>0</v>
      </c>
      <c r="R221" s="96"/>
    </row>
    <row r="222" spans="1:18" x14ac:dyDescent="0.3">
      <c r="A222" s="83" t="str">
        <f>IF(TRIM(H222)&lt;&gt;"",COUNTA(H$9:$H222)&amp;"","")</f>
        <v>155</v>
      </c>
      <c r="B222" s="84" t="s">
        <v>425</v>
      </c>
      <c r="C222" s="84" t="s">
        <v>383</v>
      </c>
      <c r="D222" s="85"/>
      <c r="E222" s="86" t="s">
        <v>469</v>
      </c>
      <c r="F222" s="87">
        <v>27770</v>
      </c>
      <c r="G222" s="64">
        <f>721*9+255*19.83+231*9.83+264*8+138*7.83+245*8.67+241*9.5+221*12+42*7.67+88*7.5+199*10+716</f>
        <v>27762.71</v>
      </c>
      <c r="H222" s="88" t="s">
        <v>147</v>
      </c>
      <c r="I222" s="89">
        <f t="shared" ref="I222" si="243">IF(F222=0,"",0)</f>
        <v>0</v>
      </c>
      <c r="J222" s="90">
        <f t="shared" ref="J222:J223" si="244">IF(F222=0,"",F222+(F222*I222))</f>
        <v>27770</v>
      </c>
      <c r="K222" s="91">
        <f t="shared" ref="K222:K223" si="245">IF(F222=0,"",0)</f>
        <v>0</v>
      </c>
      <c r="L222" s="92">
        <f t="shared" ref="L222:L223" si="246">IF(F222=0,"",K222*J222)</f>
        <v>0</v>
      </c>
      <c r="M222" s="93">
        <f t="shared" ref="M222:M223" si="247">IF(F222=0,"",M$7)</f>
        <v>0</v>
      </c>
      <c r="N222" s="94">
        <f t="shared" ref="N222:N223" si="248">IF(F222=0,"",0)</f>
        <v>0</v>
      </c>
      <c r="O222" s="94">
        <f t="shared" ref="O222:O223" si="249">IF(F222=0,"",N222*J222)</f>
        <v>0</v>
      </c>
      <c r="P222" s="92">
        <f t="shared" ref="P222:P223" si="250">IF(F222=0,"",O222*M222)</f>
        <v>0</v>
      </c>
      <c r="Q222" s="95">
        <f t="shared" ref="Q222:Q223" si="251">IF(F222=0,"",L222+P222)</f>
        <v>0</v>
      </c>
      <c r="R222" s="96"/>
    </row>
    <row r="223" spans="1:18" x14ac:dyDescent="0.3">
      <c r="A223" s="83" t="str">
        <f>IF(TRIM(H223)&lt;&gt;"",COUNTA(H$9:$H223)&amp;"","")</f>
        <v>156</v>
      </c>
      <c r="B223" s="84" t="s">
        <v>471</v>
      </c>
      <c r="C223" s="84"/>
      <c r="D223" s="85"/>
      <c r="E223" s="86" t="s">
        <v>470</v>
      </c>
      <c r="F223" s="87">
        <v>445</v>
      </c>
      <c r="H223" s="88" t="s">
        <v>147</v>
      </c>
      <c r="I223" s="89">
        <f>IF(F223=0,"",0)</f>
        <v>0</v>
      </c>
      <c r="J223" s="90">
        <f t="shared" si="244"/>
        <v>445</v>
      </c>
      <c r="K223" s="91">
        <f t="shared" si="245"/>
        <v>0</v>
      </c>
      <c r="L223" s="92">
        <f t="shared" si="246"/>
        <v>0</v>
      </c>
      <c r="M223" s="93">
        <f t="shared" si="247"/>
        <v>0</v>
      </c>
      <c r="N223" s="94">
        <f t="shared" si="248"/>
        <v>0</v>
      </c>
      <c r="O223" s="94">
        <f t="shared" si="249"/>
        <v>0</v>
      </c>
      <c r="P223" s="92">
        <f t="shared" si="250"/>
        <v>0</v>
      </c>
      <c r="Q223" s="95">
        <f t="shared" si="251"/>
        <v>0</v>
      </c>
      <c r="R223" s="96"/>
    </row>
    <row r="224" spans="1:18" x14ac:dyDescent="0.3">
      <c r="A224" s="83" t="str">
        <f>IF(TRIM(H224)&lt;&gt;"",COUNTA(H$9:$H224)&amp;"","")</f>
        <v>157</v>
      </c>
      <c r="B224" s="84" t="s">
        <v>468</v>
      </c>
      <c r="C224" s="84"/>
      <c r="D224" s="85"/>
      <c r="E224" s="86" t="s">
        <v>472</v>
      </c>
      <c r="F224" s="87">
        <v>355</v>
      </c>
      <c r="G224" s="64">
        <f>16*22</f>
        <v>352</v>
      </c>
      <c r="H224" s="88" t="s">
        <v>147</v>
      </c>
      <c r="I224" s="89">
        <f t="shared" si="234"/>
        <v>0</v>
      </c>
      <c r="J224" s="90">
        <f t="shared" si="235"/>
        <v>355</v>
      </c>
      <c r="K224" s="91">
        <f t="shared" si="236"/>
        <v>0</v>
      </c>
      <c r="L224" s="92">
        <f t="shared" si="237"/>
        <v>0</v>
      </c>
      <c r="M224" s="93">
        <f t="shared" si="238"/>
        <v>0</v>
      </c>
      <c r="N224" s="94">
        <f t="shared" si="239"/>
        <v>0</v>
      </c>
      <c r="O224" s="94">
        <f t="shared" si="240"/>
        <v>0</v>
      </c>
      <c r="P224" s="92">
        <f t="shared" si="241"/>
        <v>0</v>
      </c>
      <c r="Q224" s="95">
        <f t="shared" si="242"/>
        <v>0</v>
      </c>
      <c r="R224" s="96"/>
    </row>
    <row r="225" spans="1:18" x14ac:dyDescent="0.3">
      <c r="A225" s="83" t="str">
        <f>IF(TRIM(H225)&lt;&gt;"",COUNTA(H$9:$H225)&amp;"","")</f>
        <v>158</v>
      </c>
      <c r="B225" s="84" t="s">
        <v>468</v>
      </c>
      <c r="C225" s="84"/>
      <c r="D225" s="85"/>
      <c r="E225" s="86" t="s">
        <v>473</v>
      </c>
      <c r="F225" s="87">
        <v>385</v>
      </c>
      <c r="G225" s="64">
        <f>2.5*153</f>
        <v>382.5</v>
      </c>
      <c r="H225" s="88" t="s">
        <v>147</v>
      </c>
      <c r="I225" s="89">
        <f>IF(F225=0,"",0)</f>
        <v>0</v>
      </c>
      <c r="J225" s="90">
        <f t="shared" si="235"/>
        <v>385</v>
      </c>
      <c r="K225" s="91">
        <f t="shared" si="236"/>
        <v>0</v>
      </c>
      <c r="L225" s="92">
        <f t="shared" si="237"/>
        <v>0</v>
      </c>
      <c r="M225" s="93">
        <f t="shared" si="238"/>
        <v>0</v>
      </c>
      <c r="N225" s="94">
        <f t="shared" si="239"/>
        <v>0</v>
      </c>
      <c r="O225" s="94">
        <f t="shared" si="240"/>
        <v>0</v>
      </c>
      <c r="P225" s="92">
        <f t="shared" si="241"/>
        <v>0</v>
      </c>
      <c r="Q225" s="95">
        <f t="shared" si="242"/>
        <v>0</v>
      </c>
      <c r="R225" s="96"/>
    </row>
    <row r="226" spans="1:18" x14ac:dyDescent="0.3">
      <c r="A226" s="83" t="str">
        <f>IF(TRIM(H226)&lt;&gt;"",COUNTA(H$9:$H226)&amp;"","")</f>
        <v>159</v>
      </c>
      <c r="B226" s="84" t="s">
        <v>475</v>
      </c>
      <c r="C226" s="84" t="s">
        <v>476</v>
      </c>
      <c r="D226" s="85"/>
      <c r="E226" s="86" t="s">
        <v>474</v>
      </c>
      <c r="F226" s="87">
        <v>38</v>
      </c>
      <c r="H226" s="88" t="s">
        <v>232</v>
      </c>
      <c r="I226" s="89">
        <f t="shared" ref="I226" si="252">IF(F226=0,"",0)</f>
        <v>0</v>
      </c>
      <c r="J226" s="90">
        <f t="shared" ref="J226:J227" si="253">IF(F226=0,"",F226+(F226*I226))</f>
        <v>38</v>
      </c>
      <c r="K226" s="91">
        <f t="shared" ref="K226:K227" si="254">IF(F226=0,"",0)</f>
        <v>0</v>
      </c>
      <c r="L226" s="92">
        <f t="shared" ref="L226:L227" si="255">IF(F226=0,"",K226*J226)</f>
        <v>0</v>
      </c>
      <c r="M226" s="93">
        <f t="shared" ref="M226:M227" si="256">IF(F226=0,"",M$7)</f>
        <v>0</v>
      </c>
      <c r="N226" s="94">
        <f t="shared" ref="N226:N227" si="257">IF(F226=0,"",0)</f>
        <v>0</v>
      </c>
      <c r="O226" s="94">
        <f t="shared" ref="O226:O227" si="258">IF(F226=0,"",N226*J226)</f>
        <v>0</v>
      </c>
      <c r="P226" s="92">
        <f t="shared" ref="P226:P227" si="259">IF(F226=0,"",O226*M226)</f>
        <v>0</v>
      </c>
      <c r="Q226" s="95">
        <f t="shared" ref="Q226:Q227" si="260">IF(F226=0,"",L226+P226)</f>
        <v>0</v>
      </c>
      <c r="R226" s="96"/>
    </row>
    <row r="227" spans="1:18" x14ac:dyDescent="0.3">
      <c r="A227" s="83" t="str">
        <f>IF(TRIM(H227)&lt;&gt;"",COUNTA(H$9:$H227)&amp;"","")</f>
        <v>160</v>
      </c>
      <c r="B227" s="84" t="s">
        <v>475</v>
      </c>
      <c r="C227" s="84" t="s">
        <v>476</v>
      </c>
      <c r="D227" s="85"/>
      <c r="E227" s="86" t="s">
        <v>477</v>
      </c>
      <c r="F227" s="87">
        <v>5</v>
      </c>
      <c r="H227" s="88" t="s">
        <v>232</v>
      </c>
      <c r="I227" s="89">
        <f>IF(F227=0,"",0)</f>
        <v>0</v>
      </c>
      <c r="J227" s="90">
        <f t="shared" si="253"/>
        <v>5</v>
      </c>
      <c r="K227" s="91">
        <f t="shared" si="254"/>
        <v>0</v>
      </c>
      <c r="L227" s="92">
        <f t="shared" si="255"/>
        <v>0</v>
      </c>
      <c r="M227" s="93">
        <f t="shared" si="256"/>
        <v>0</v>
      </c>
      <c r="N227" s="94">
        <f t="shared" si="257"/>
        <v>0</v>
      </c>
      <c r="O227" s="94">
        <f t="shared" si="258"/>
        <v>0</v>
      </c>
      <c r="P227" s="92">
        <f t="shared" si="259"/>
        <v>0</v>
      </c>
      <c r="Q227" s="95">
        <f t="shared" si="260"/>
        <v>0</v>
      </c>
      <c r="R227" s="96"/>
    </row>
    <row r="228" spans="1:18" x14ac:dyDescent="0.3">
      <c r="A228" s="83" t="str">
        <f>IF(TRIM(H228)&lt;&gt;"",COUNTA(H$9:$H228)&amp;"","")</f>
        <v>161</v>
      </c>
      <c r="B228" s="84" t="s">
        <v>479</v>
      </c>
      <c r="C228" s="84" t="s">
        <v>383</v>
      </c>
      <c r="D228" s="85"/>
      <c r="E228" s="86" t="s">
        <v>478</v>
      </c>
      <c r="F228" s="87">
        <v>266</v>
      </c>
      <c r="G228" s="64">
        <f>65+80*1.5+1.83*44</f>
        <v>265.52</v>
      </c>
      <c r="H228" s="88" t="s">
        <v>147</v>
      </c>
      <c r="I228" s="89">
        <f t="shared" si="234"/>
        <v>0</v>
      </c>
      <c r="J228" s="90">
        <f t="shared" si="235"/>
        <v>266</v>
      </c>
      <c r="K228" s="91">
        <f t="shared" si="236"/>
        <v>0</v>
      </c>
      <c r="L228" s="92">
        <f t="shared" si="237"/>
        <v>0</v>
      </c>
      <c r="M228" s="93">
        <f t="shared" si="238"/>
        <v>0</v>
      </c>
      <c r="N228" s="94">
        <f t="shared" si="239"/>
        <v>0</v>
      </c>
      <c r="O228" s="94">
        <f t="shared" si="240"/>
        <v>0</v>
      </c>
      <c r="P228" s="92">
        <f t="shared" si="241"/>
        <v>0</v>
      </c>
      <c r="Q228" s="95">
        <f t="shared" si="242"/>
        <v>0</v>
      </c>
      <c r="R228" s="96"/>
    </row>
    <row r="229" spans="1:18" ht="15" thickBot="1" x14ac:dyDescent="0.35">
      <c r="A229" s="83" t="str">
        <f>IF(TRIM(H229)&lt;&gt;"",COUNTA(H$9:$H229)&amp;"","")</f>
        <v/>
      </c>
      <c r="B229" s="84"/>
      <c r="C229" s="84"/>
      <c r="D229" s="117"/>
      <c r="E229" s="86"/>
      <c r="F229" s="87"/>
      <c r="H229" s="88"/>
      <c r="I229" s="89" t="str">
        <f t="shared" ref="I229" si="261">IF(F229=0,"",0)</f>
        <v/>
      </c>
      <c r="J229" s="90" t="str">
        <f t="shared" si="235"/>
        <v/>
      </c>
      <c r="K229" s="91" t="str">
        <f t="shared" si="236"/>
        <v/>
      </c>
      <c r="L229" s="92" t="str">
        <f t="shared" si="237"/>
        <v/>
      </c>
      <c r="M229" s="93" t="str">
        <f t="shared" si="238"/>
        <v/>
      </c>
      <c r="N229" s="94" t="str">
        <f t="shared" si="239"/>
        <v/>
      </c>
      <c r="O229" s="94" t="str">
        <f t="shared" si="240"/>
        <v/>
      </c>
      <c r="P229" s="92" t="str">
        <f t="shared" si="241"/>
        <v/>
      </c>
      <c r="Q229" s="95" t="str">
        <f t="shared" si="242"/>
        <v/>
      </c>
      <c r="R229" s="96"/>
    </row>
    <row r="230" spans="1:18" s="111" customFormat="1" ht="16.2" thickBot="1" x14ac:dyDescent="0.35">
      <c r="A230" s="83" t="str">
        <f>IF(TRIM(H230)&lt;&gt;"",COUNTA(H$9:$H230)&amp;"","")</f>
        <v/>
      </c>
      <c r="B230" s="100"/>
      <c r="C230" s="100"/>
      <c r="D230" s="101"/>
      <c r="E230" s="102"/>
      <c r="F230" s="103"/>
      <c r="H230" s="104"/>
      <c r="I230" s="105" t="s">
        <v>12</v>
      </c>
      <c r="J230" s="106"/>
      <c r="K230" s="107">
        <f>SUM(L$155:L$229)</f>
        <v>1006.7244228142077</v>
      </c>
      <c r="L230" s="211" t="s">
        <v>13</v>
      </c>
      <c r="M230" s="212"/>
      <c r="N230" s="108">
        <f>SUM(P$155:P$229)</f>
        <v>0</v>
      </c>
      <c r="O230" s="211" t="s">
        <v>42</v>
      </c>
      <c r="P230" s="212"/>
      <c r="Q230" s="109">
        <f>SUM(O$155:O$229)</f>
        <v>78.402564776867038</v>
      </c>
      <c r="R230" s="110">
        <f>SUM(Q$155:Q$229)</f>
        <v>1006.7244228142077</v>
      </c>
    </row>
    <row r="231" spans="1:18" s="164" customFormat="1" ht="20.100000000000001" customHeight="1" x14ac:dyDescent="0.3">
      <c r="A231" s="160" t="str">
        <f>IF(TRIM(H231)&lt;&gt;"",COUNTA(H$9:$H231)&amp;"","")</f>
        <v/>
      </c>
      <c r="B231" s="161"/>
      <c r="C231" s="161"/>
      <c r="D231" s="162" t="s">
        <v>60</v>
      </c>
      <c r="E231" s="162" t="s">
        <v>100</v>
      </c>
      <c r="F231" s="163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5"/>
    </row>
    <row r="232" spans="1:18" s="113" customFormat="1" ht="19.2" customHeight="1" x14ac:dyDescent="0.3">
      <c r="A232" s="83" t="str">
        <f>IF(TRIM(H232)&lt;&gt;"",COUNTA(H$9:$H232)&amp;"","")</f>
        <v/>
      </c>
      <c r="B232" s="112"/>
      <c r="C232" s="112"/>
      <c r="D232" s="85" t="s">
        <v>102</v>
      </c>
      <c r="E232" s="157" t="s">
        <v>101</v>
      </c>
      <c r="F232" s="87"/>
      <c r="H232" s="88"/>
      <c r="I232" s="89" t="str">
        <f t="shared" ref="I232:I247" si="262">IF(F232=0,"",0)</f>
        <v/>
      </c>
      <c r="J232" s="90" t="str">
        <f t="shared" ref="J232:J247" si="263">IF(F232=0,"",F232+(F232*I232))</f>
        <v/>
      </c>
      <c r="K232" s="91" t="str">
        <f t="shared" ref="K232:K247" si="264">IF(F232=0,"",0)</f>
        <v/>
      </c>
      <c r="L232" s="92" t="str">
        <f t="shared" ref="L232:L247" si="265">IF(F232=0,"",K232*J232)</f>
        <v/>
      </c>
      <c r="M232" s="93" t="str">
        <f t="shared" ref="M232:M247" si="266">IF(F232=0,"",M$7)</f>
        <v/>
      </c>
      <c r="N232" s="94" t="str">
        <f t="shared" ref="N232:N247" si="267">IF(F232=0,"",0)</f>
        <v/>
      </c>
      <c r="O232" s="94" t="str">
        <f t="shared" ref="O232:O247" si="268">IF(F232=0,"",N232*J232)</f>
        <v/>
      </c>
      <c r="P232" s="92" t="str">
        <f t="shared" ref="P232:P247" si="269">IF(F232=0,"",O232*M232)</f>
        <v/>
      </c>
      <c r="Q232" s="95" t="str">
        <f t="shared" ref="Q232:Q247" si="270">IF(F232=0,"",L232+P232)</f>
        <v/>
      </c>
      <c r="R232" s="96"/>
    </row>
    <row r="233" spans="1:18" x14ac:dyDescent="0.3">
      <c r="A233" s="83" t="str">
        <f>IF(TRIM(H233)&lt;&gt;"",COUNTA(H$9:$H233)&amp;"","")</f>
        <v>162</v>
      </c>
      <c r="B233" s="84" t="s">
        <v>481</v>
      </c>
      <c r="C233" s="84" t="s">
        <v>482</v>
      </c>
      <c r="D233" s="85"/>
      <c r="E233" s="86" t="s">
        <v>480</v>
      </c>
      <c r="F233" s="87">
        <v>4</v>
      </c>
      <c r="H233" s="88" t="s">
        <v>232</v>
      </c>
      <c r="I233" s="89">
        <f t="shared" si="262"/>
        <v>0</v>
      </c>
      <c r="J233" s="90">
        <f t="shared" si="263"/>
        <v>4</v>
      </c>
      <c r="K233" s="91">
        <f t="shared" si="264"/>
        <v>0</v>
      </c>
      <c r="L233" s="92">
        <f t="shared" si="265"/>
        <v>0</v>
      </c>
      <c r="M233" s="93">
        <f t="shared" si="266"/>
        <v>0</v>
      </c>
      <c r="N233" s="94">
        <f t="shared" si="267"/>
        <v>0</v>
      </c>
      <c r="O233" s="94">
        <f t="shared" si="268"/>
        <v>0</v>
      </c>
      <c r="P233" s="92">
        <f t="shared" si="269"/>
        <v>0</v>
      </c>
      <c r="Q233" s="95">
        <f t="shared" si="270"/>
        <v>0</v>
      </c>
      <c r="R233" s="96"/>
    </row>
    <row r="234" spans="1:18" x14ac:dyDescent="0.3">
      <c r="A234" s="83" t="str">
        <f>IF(TRIM(H234)&lt;&gt;"",COUNTA(H$9:$H234)&amp;"","")</f>
        <v>163</v>
      </c>
      <c r="B234" s="84"/>
      <c r="C234" s="84"/>
      <c r="D234" s="85"/>
      <c r="E234" s="86" t="s">
        <v>483</v>
      </c>
      <c r="F234" s="87">
        <v>4</v>
      </c>
      <c r="H234" s="88" t="s">
        <v>232</v>
      </c>
      <c r="I234" s="89">
        <f t="shared" si="262"/>
        <v>0</v>
      </c>
      <c r="J234" s="90">
        <f t="shared" si="263"/>
        <v>4</v>
      </c>
      <c r="K234" s="91">
        <f t="shared" si="264"/>
        <v>0</v>
      </c>
      <c r="L234" s="92">
        <f t="shared" si="265"/>
        <v>0</v>
      </c>
      <c r="M234" s="93">
        <f t="shared" si="266"/>
        <v>0</v>
      </c>
      <c r="N234" s="94">
        <f t="shared" si="267"/>
        <v>0</v>
      </c>
      <c r="O234" s="94">
        <f t="shared" si="268"/>
        <v>0</v>
      </c>
      <c r="P234" s="92">
        <f t="shared" si="269"/>
        <v>0</v>
      </c>
      <c r="Q234" s="95">
        <f t="shared" si="270"/>
        <v>0</v>
      </c>
      <c r="R234" s="96"/>
    </row>
    <row r="235" spans="1:18" x14ac:dyDescent="0.3">
      <c r="A235" s="83" t="str">
        <f>IF(TRIM(H235)&lt;&gt;"",COUNTA(H$9:$H235)&amp;"","")</f>
        <v>164</v>
      </c>
      <c r="B235" s="84"/>
      <c r="C235" s="84"/>
      <c r="D235" s="85"/>
      <c r="E235" s="86" t="s">
        <v>484</v>
      </c>
      <c r="F235" s="87">
        <v>3</v>
      </c>
      <c r="H235" s="88" t="s">
        <v>232</v>
      </c>
      <c r="I235" s="89">
        <f t="shared" si="262"/>
        <v>0</v>
      </c>
      <c r="J235" s="90">
        <f t="shared" si="263"/>
        <v>3</v>
      </c>
      <c r="K235" s="91">
        <f t="shared" si="264"/>
        <v>0</v>
      </c>
      <c r="L235" s="92">
        <f t="shared" si="265"/>
        <v>0</v>
      </c>
      <c r="M235" s="93">
        <f t="shared" si="266"/>
        <v>0</v>
      </c>
      <c r="N235" s="94">
        <f t="shared" si="267"/>
        <v>0</v>
      </c>
      <c r="O235" s="94">
        <f t="shared" si="268"/>
        <v>0</v>
      </c>
      <c r="P235" s="92">
        <f t="shared" si="269"/>
        <v>0</v>
      </c>
      <c r="Q235" s="95">
        <f t="shared" si="270"/>
        <v>0</v>
      </c>
      <c r="R235" s="96"/>
    </row>
    <row r="236" spans="1:18" x14ac:dyDescent="0.3">
      <c r="A236" s="83" t="str">
        <f>IF(TRIM(H236)&lt;&gt;"",COUNTA(H$9:$H236)&amp;"","")</f>
        <v>165</v>
      </c>
      <c r="B236" s="84"/>
      <c r="C236" s="84"/>
      <c r="D236" s="85"/>
      <c r="E236" s="86" t="s">
        <v>485</v>
      </c>
      <c r="F236" s="87">
        <v>1</v>
      </c>
      <c r="H236" s="88" t="s">
        <v>232</v>
      </c>
      <c r="I236" s="89">
        <f t="shared" si="262"/>
        <v>0</v>
      </c>
      <c r="J236" s="90">
        <f t="shared" si="263"/>
        <v>1</v>
      </c>
      <c r="K236" s="91">
        <f t="shared" si="264"/>
        <v>0</v>
      </c>
      <c r="L236" s="92">
        <f t="shared" si="265"/>
        <v>0</v>
      </c>
      <c r="M236" s="93">
        <f t="shared" si="266"/>
        <v>0</v>
      </c>
      <c r="N236" s="94">
        <f t="shared" si="267"/>
        <v>0</v>
      </c>
      <c r="O236" s="94">
        <f t="shared" si="268"/>
        <v>0</v>
      </c>
      <c r="P236" s="92">
        <f t="shared" si="269"/>
        <v>0</v>
      </c>
      <c r="Q236" s="95">
        <f t="shared" si="270"/>
        <v>0</v>
      </c>
      <c r="R236" s="96"/>
    </row>
    <row r="237" spans="1:18" s="113" customFormat="1" ht="19.2" customHeight="1" x14ac:dyDescent="0.3">
      <c r="A237" s="83" t="str">
        <f>IF(TRIM(H237)&lt;&gt;"",COUNTA(H$9:$H237)&amp;"","")</f>
        <v/>
      </c>
      <c r="B237" s="112"/>
      <c r="C237" s="112"/>
      <c r="D237" s="85"/>
      <c r="E237" s="157" t="s">
        <v>103</v>
      </c>
      <c r="F237" s="87"/>
      <c r="H237" s="88"/>
      <c r="I237" s="89" t="str">
        <f t="shared" si="262"/>
        <v/>
      </c>
      <c r="J237" s="90" t="str">
        <f t="shared" si="263"/>
        <v/>
      </c>
      <c r="K237" s="91" t="str">
        <f t="shared" si="264"/>
        <v/>
      </c>
      <c r="L237" s="92" t="str">
        <f t="shared" si="265"/>
        <v/>
      </c>
      <c r="M237" s="93" t="str">
        <f t="shared" si="266"/>
        <v/>
      </c>
      <c r="N237" s="94" t="str">
        <f t="shared" si="267"/>
        <v/>
      </c>
      <c r="O237" s="94" t="str">
        <f t="shared" si="268"/>
        <v/>
      </c>
      <c r="P237" s="92" t="str">
        <f t="shared" si="269"/>
        <v/>
      </c>
      <c r="Q237" s="95" t="str">
        <f t="shared" si="270"/>
        <v/>
      </c>
      <c r="R237" s="96"/>
    </row>
    <row r="238" spans="1:18" x14ac:dyDescent="0.3">
      <c r="A238" s="83" t="str">
        <f>IF(TRIM(H238)&lt;&gt;"",COUNTA(H$9:$H238)&amp;"","")</f>
        <v>166</v>
      </c>
      <c r="B238" s="84" t="s">
        <v>395</v>
      </c>
      <c r="C238" s="84" t="s">
        <v>487</v>
      </c>
      <c r="D238" s="85"/>
      <c r="E238" s="97" t="s">
        <v>486</v>
      </c>
      <c r="F238" s="87">
        <v>1</v>
      </c>
      <c r="H238" s="88" t="s">
        <v>232</v>
      </c>
      <c r="I238" s="89">
        <f t="shared" si="262"/>
        <v>0</v>
      </c>
      <c r="J238" s="90">
        <f t="shared" si="263"/>
        <v>1</v>
      </c>
      <c r="K238" s="91">
        <f t="shared" si="264"/>
        <v>0</v>
      </c>
      <c r="L238" s="92">
        <f t="shared" si="265"/>
        <v>0</v>
      </c>
      <c r="M238" s="93">
        <f t="shared" si="266"/>
        <v>0</v>
      </c>
      <c r="N238" s="94">
        <f t="shared" si="267"/>
        <v>0</v>
      </c>
      <c r="O238" s="94">
        <f t="shared" si="268"/>
        <v>0</v>
      </c>
      <c r="P238" s="92">
        <f t="shared" si="269"/>
        <v>0</v>
      </c>
      <c r="Q238" s="95">
        <f t="shared" si="270"/>
        <v>0</v>
      </c>
      <c r="R238" s="96"/>
    </row>
    <row r="239" spans="1:18" x14ac:dyDescent="0.3">
      <c r="A239" s="83" t="str">
        <f>IF(TRIM(H239)&lt;&gt;"",COUNTA(H$9:$H239)&amp;"","")</f>
        <v>167</v>
      </c>
      <c r="B239" s="84" t="s">
        <v>488</v>
      </c>
      <c r="C239" s="84"/>
      <c r="D239" s="85"/>
      <c r="E239" s="97" t="s">
        <v>489</v>
      </c>
      <c r="F239" s="87">
        <v>2</v>
      </c>
      <c r="H239" s="88" t="s">
        <v>232</v>
      </c>
      <c r="I239" s="89">
        <f t="shared" si="262"/>
        <v>0</v>
      </c>
      <c r="J239" s="90">
        <f t="shared" si="263"/>
        <v>2</v>
      </c>
      <c r="K239" s="91">
        <f t="shared" si="264"/>
        <v>0</v>
      </c>
      <c r="L239" s="92">
        <f t="shared" si="265"/>
        <v>0</v>
      </c>
      <c r="M239" s="93">
        <f t="shared" si="266"/>
        <v>0</v>
      </c>
      <c r="N239" s="94">
        <f t="shared" si="267"/>
        <v>0</v>
      </c>
      <c r="O239" s="94">
        <f t="shared" si="268"/>
        <v>0</v>
      </c>
      <c r="P239" s="92">
        <f t="shared" si="269"/>
        <v>0</v>
      </c>
      <c r="Q239" s="95">
        <f t="shared" si="270"/>
        <v>0</v>
      </c>
      <c r="R239" s="96"/>
    </row>
    <row r="240" spans="1:18" x14ac:dyDescent="0.3">
      <c r="A240" s="83" t="str">
        <f>IF(TRIM(H240)&lt;&gt;"",COUNTA(H$9:$H240)&amp;"","")</f>
        <v>168</v>
      </c>
      <c r="B240" s="84"/>
      <c r="C240" s="84"/>
      <c r="D240" s="85"/>
      <c r="E240" s="97" t="s">
        <v>490</v>
      </c>
      <c r="F240" s="87">
        <v>1</v>
      </c>
      <c r="H240" s="88" t="s">
        <v>232</v>
      </c>
      <c r="I240" s="89">
        <f t="shared" si="262"/>
        <v>0</v>
      </c>
      <c r="J240" s="90">
        <f t="shared" si="263"/>
        <v>1</v>
      </c>
      <c r="K240" s="91">
        <f t="shared" si="264"/>
        <v>0</v>
      </c>
      <c r="L240" s="92">
        <f t="shared" si="265"/>
        <v>0</v>
      </c>
      <c r="M240" s="93">
        <f t="shared" si="266"/>
        <v>0</v>
      </c>
      <c r="N240" s="94">
        <f t="shared" si="267"/>
        <v>0</v>
      </c>
      <c r="O240" s="94">
        <f t="shared" si="268"/>
        <v>0</v>
      </c>
      <c r="P240" s="92">
        <f t="shared" si="269"/>
        <v>0</v>
      </c>
      <c r="Q240" s="95">
        <f t="shared" si="270"/>
        <v>0</v>
      </c>
      <c r="R240" s="96"/>
    </row>
    <row r="241" spans="1:18" x14ac:dyDescent="0.3">
      <c r="A241" s="83" t="str">
        <f>IF(TRIM(H241)&lt;&gt;"",COUNTA(H$9:$H241)&amp;"","")</f>
        <v>169</v>
      </c>
      <c r="B241" s="84"/>
      <c r="C241" s="84"/>
      <c r="D241" s="85"/>
      <c r="E241" s="97" t="s">
        <v>491</v>
      </c>
      <c r="F241" s="87">
        <v>1</v>
      </c>
      <c r="H241" s="88" t="s">
        <v>232</v>
      </c>
      <c r="I241" s="89">
        <f t="shared" si="262"/>
        <v>0</v>
      </c>
      <c r="J241" s="90">
        <f t="shared" si="263"/>
        <v>1</v>
      </c>
      <c r="K241" s="91">
        <f t="shared" si="264"/>
        <v>0</v>
      </c>
      <c r="L241" s="92">
        <f t="shared" si="265"/>
        <v>0</v>
      </c>
      <c r="M241" s="93">
        <f t="shared" si="266"/>
        <v>0</v>
      </c>
      <c r="N241" s="94">
        <f t="shared" si="267"/>
        <v>0</v>
      </c>
      <c r="O241" s="94">
        <f t="shared" si="268"/>
        <v>0</v>
      </c>
      <c r="P241" s="92">
        <f t="shared" si="269"/>
        <v>0</v>
      </c>
      <c r="Q241" s="95">
        <f t="shared" si="270"/>
        <v>0</v>
      </c>
      <c r="R241" s="96"/>
    </row>
    <row r="242" spans="1:18" x14ac:dyDescent="0.3">
      <c r="A242" s="83" t="str">
        <f>IF(TRIM(H242)&lt;&gt;"",COUNTA(H$9:$H242)&amp;"","")</f>
        <v>170</v>
      </c>
      <c r="B242" s="84"/>
      <c r="C242" s="84"/>
      <c r="D242" s="85"/>
      <c r="E242" s="97" t="s">
        <v>492</v>
      </c>
      <c r="F242" s="87">
        <v>1</v>
      </c>
      <c r="H242" s="88" t="s">
        <v>232</v>
      </c>
      <c r="I242" s="89">
        <f t="shared" ref="I242:I243" si="271">IF(F242=0,"",0)</f>
        <v>0</v>
      </c>
      <c r="J242" s="90">
        <f t="shared" ref="J242:J243" si="272">IF(F242=0,"",F242+(F242*I242))</f>
        <v>1</v>
      </c>
      <c r="K242" s="91">
        <f t="shared" ref="K242:K243" si="273">IF(F242=0,"",0)</f>
        <v>0</v>
      </c>
      <c r="L242" s="92">
        <f t="shared" ref="L242:L243" si="274">IF(F242=0,"",K242*J242)</f>
        <v>0</v>
      </c>
      <c r="M242" s="93">
        <f t="shared" ref="M242:M243" si="275">IF(F242=0,"",M$7)</f>
        <v>0</v>
      </c>
      <c r="N242" s="94">
        <f t="shared" ref="N242:N243" si="276">IF(F242=0,"",0)</f>
        <v>0</v>
      </c>
      <c r="O242" s="94">
        <f t="shared" ref="O242:O243" si="277">IF(F242=0,"",N242*J242)</f>
        <v>0</v>
      </c>
      <c r="P242" s="92">
        <f t="shared" ref="P242:P243" si="278">IF(F242=0,"",O242*M242)</f>
        <v>0</v>
      </c>
      <c r="Q242" s="95">
        <f t="shared" ref="Q242:Q243" si="279">IF(F242=0,"",L242+P242)</f>
        <v>0</v>
      </c>
      <c r="R242" s="96"/>
    </row>
    <row r="243" spans="1:18" x14ac:dyDescent="0.3">
      <c r="A243" s="83" t="str">
        <f>IF(TRIM(H243)&lt;&gt;"",COUNTA(H$9:$H243)&amp;"","")</f>
        <v>171</v>
      </c>
      <c r="B243" s="84"/>
      <c r="C243" s="84"/>
      <c r="D243" s="85"/>
      <c r="E243" s="97" t="s">
        <v>493</v>
      </c>
      <c r="F243" s="87">
        <v>1</v>
      </c>
      <c r="H243" s="88" t="s">
        <v>232</v>
      </c>
      <c r="I243" s="89">
        <f t="shared" si="271"/>
        <v>0</v>
      </c>
      <c r="J243" s="90">
        <f t="shared" si="272"/>
        <v>1</v>
      </c>
      <c r="K243" s="91">
        <f t="shared" si="273"/>
        <v>0</v>
      </c>
      <c r="L243" s="92">
        <f t="shared" si="274"/>
        <v>0</v>
      </c>
      <c r="M243" s="93">
        <f t="shared" si="275"/>
        <v>0</v>
      </c>
      <c r="N243" s="94">
        <f t="shared" si="276"/>
        <v>0</v>
      </c>
      <c r="O243" s="94">
        <f t="shared" si="277"/>
        <v>0</v>
      </c>
      <c r="P243" s="92">
        <f t="shared" si="278"/>
        <v>0</v>
      </c>
      <c r="Q243" s="95">
        <f t="shared" si="279"/>
        <v>0</v>
      </c>
      <c r="R243" s="96"/>
    </row>
    <row r="244" spans="1:18" s="113" customFormat="1" ht="19.2" customHeight="1" x14ac:dyDescent="0.3">
      <c r="A244" s="83" t="str">
        <f>IF(TRIM(H244)&lt;&gt;"",COUNTA(H$9:$H244)&amp;"","")</f>
        <v/>
      </c>
      <c r="B244" s="112"/>
      <c r="C244" s="112"/>
      <c r="D244" s="85"/>
      <c r="E244" s="157" t="s">
        <v>104</v>
      </c>
      <c r="F244" s="87"/>
      <c r="H244" s="88"/>
      <c r="I244" s="89" t="str">
        <f t="shared" si="262"/>
        <v/>
      </c>
      <c r="J244" s="90" t="str">
        <f t="shared" si="263"/>
        <v/>
      </c>
      <c r="K244" s="91" t="str">
        <f t="shared" si="264"/>
        <v/>
      </c>
      <c r="L244" s="92" t="str">
        <f t="shared" si="265"/>
        <v/>
      </c>
      <c r="M244" s="93" t="str">
        <f t="shared" si="266"/>
        <v/>
      </c>
      <c r="N244" s="94" t="str">
        <f t="shared" si="267"/>
        <v/>
      </c>
      <c r="O244" s="94" t="str">
        <f t="shared" si="268"/>
        <v/>
      </c>
      <c r="P244" s="92" t="str">
        <f t="shared" si="269"/>
        <v/>
      </c>
      <c r="Q244" s="95" t="str">
        <f t="shared" si="270"/>
        <v/>
      </c>
      <c r="R244" s="96"/>
    </row>
    <row r="245" spans="1:18" x14ac:dyDescent="0.3">
      <c r="A245" s="83" t="str">
        <f>IF(TRIM(H245)&lt;&gt;"",COUNTA(H$9:$H245)&amp;"","")</f>
        <v>172</v>
      </c>
      <c r="B245" s="84" t="s">
        <v>506</v>
      </c>
      <c r="C245" s="84"/>
      <c r="D245" s="85"/>
      <c r="E245" s="97" t="s">
        <v>505</v>
      </c>
      <c r="F245" s="87">
        <v>1</v>
      </c>
      <c r="H245" s="88" t="s">
        <v>232</v>
      </c>
      <c r="I245" s="89">
        <f t="shared" si="262"/>
        <v>0</v>
      </c>
      <c r="J245" s="90">
        <f t="shared" si="263"/>
        <v>1</v>
      </c>
      <c r="K245" s="91">
        <f t="shared" si="264"/>
        <v>0</v>
      </c>
      <c r="L245" s="92">
        <f t="shared" si="265"/>
        <v>0</v>
      </c>
      <c r="M245" s="93">
        <f t="shared" si="266"/>
        <v>0</v>
      </c>
      <c r="N245" s="94">
        <f t="shared" si="267"/>
        <v>0</v>
      </c>
      <c r="O245" s="94">
        <f t="shared" si="268"/>
        <v>0</v>
      </c>
      <c r="P245" s="92">
        <f t="shared" si="269"/>
        <v>0</v>
      </c>
      <c r="Q245" s="95">
        <f t="shared" si="270"/>
        <v>0</v>
      </c>
      <c r="R245" s="96"/>
    </row>
    <row r="246" spans="1:18" s="113" customFormat="1" ht="19.2" customHeight="1" x14ac:dyDescent="0.3">
      <c r="A246" s="83" t="str">
        <f>IF(TRIM(H246)&lt;&gt;"",COUNTA(H$9:$H246)&amp;"","")</f>
        <v/>
      </c>
      <c r="B246" s="112"/>
      <c r="C246" s="112"/>
      <c r="D246" s="85" t="s">
        <v>213</v>
      </c>
      <c r="E246" s="157" t="s">
        <v>212</v>
      </c>
      <c r="F246" s="87"/>
      <c r="H246" s="88"/>
      <c r="I246" s="89" t="str">
        <f t="shared" si="262"/>
        <v/>
      </c>
      <c r="J246" s="90" t="str">
        <f t="shared" si="263"/>
        <v/>
      </c>
      <c r="K246" s="91" t="str">
        <f t="shared" si="264"/>
        <v/>
      </c>
      <c r="L246" s="92" t="str">
        <f t="shared" si="265"/>
        <v/>
      </c>
      <c r="M246" s="93" t="str">
        <f t="shared" si="266"/>
        <v/>
      </c>
      <c r="N246" s="94" t="str">
        <f t="shared" si="267"/>
        <v/>
      </c>
      <c r="O246" s="94" t="str">
        <f t="shared" si="268"/>
        <v/>
      </c>
      <c r="P246" s="92" t="str">
        <f t="shared" si="269"/>
        <v/>
      </c>
      <c r="Q246" s="95" t="str">
        <f t="shared" si="270"/>
        <v/>
      </c>
      <c r="R246" s="96"/>
    </row>
    <row r="247" spans="1:18" x14ac:dyDescent="0.3">
      <c r="A247" s="83" t="str">
        <f>IF(TRIM(H247)&lt;&gt;"",COUNTA(H$9:$H247)&amp;"","")</f>
        <v>173</v>
      </c>
      <c r="B247" s="84" t="s">
        <v>372</v>
      </c>
      <c r="C247" s="84" t="s">
        <v>403</v>
      </c>
      <c r="D247" s="85"/>
      <c r="E247" s="97" t="s">
        <v>402</v>
      </c>
      <c r="F247" s="87">
        <v>2</v>
      </c>
      <c r="H247" s="88" t="s">
        <v>232</v>
      </c>
      <c r="I247" s="89">
        <f t="shared" si="262"/>
        <v>0</v>
      </c>
      <c r="J247" s="90">
        <f t="shared" si="263"/>
        <v>2</v>
      </c>
      <c r="K247" s="91">
        <f t="shared" si="264"/>
        <v>0</v>
      </c>
      <c r="L247" s="92">
        <f t="shared" si="265"/>
        <v>0</v>
      </c>
      <c r="M247" s="93">
        <f t="shared" si="266"/>
        <v>0</v>
      </c>
      <c r="N247" s="94">
        <f t="shared" si="267"/>
        <v>0</v>
      </c>
      <c r="O247" s="94">
        <f t="shared" si="268"/>
        <v>0</v>
      </c>
      <c r="P247" s="92">
        <f t="shared" si="269"/>
        <v>0</v>
      </c>
      <c r="Q247" s="95">
        <f t="shared" si="270"/>
        <v>0</v>
      </c>
      <c r="R247" s="96"/>
    </row>
    <row r="248" spans="1:18" s="113" customFormat="1" ht="19.2" customHeight="1" x14ac:dyDescent="0.3">
      <c r="A248" s="83" t="str">
        <f>IF(TRIM(H248)&lt;&gt;"",COUNTA(H$9:$H248)&amp;"","")</f>
        <v/>
      </c>
      <c r="B248" s="112"/>
      <c r="C248" s="112"/>
      <c r="D248" s="85"/>
      <c r="E248" s="157" t="s">
        <v>409</v>
      </c>
      <c r="F248" s="87"/>
      <c r="H248" s="88"/>
      <c r="I248" s="89" t="str">
        <f t="shared" ref="I248:I250" si="280">IF(F248=0,"",0)</f>
        <v/>
      </c>
      <c r="J248" s="90" t="str">
        <f t="shared" ref="J248:J250" si="281">IF(F248=0,"",F248+(F248*I248))</f>
        <v/>
      </c>
      <c r="K248" s="91" t="str">
        <f t="shared" ref="K248:K250" si="282">IF(F248=0,"",0)</f>
        <v/>
      </c>
      <c r="L248" s="92" t="str">
        <f t="shared" ref="L248:L250" si="283">IF(F248=0,"",K248*J248)</f>
        <v/>
      </c>
      <c r="M248" s="93" t="str">
        <f t="shared" ref="M248:M250" si="284">IF(F248=0,"",M$7)</f>
        <v/>
      </c>
      <c r="N248" s="94" t="str">
        <f t="shared" ref="N248:N250" si="285">IF(F248=0,"",0)</f>
        <v/>
      </c>
      <c r="O248" s="94" t="str">
        <f t="shared" ref="O248:O250" si="286">IF(F248=0,"",N248*J248)</f>
        <v/>
      </c>
      <c r="P248" s="92" t="str">
        <f t="shared" ref="P248:P250" si="287">IF(F248=0,"",O248*M248)</f>
        <v/>
      </c>
      <c r="Q248" s="95" t="str">
        <f t="shared" ref="Q248:Q250" si="288">IF(F248=0,"",L248+P248)</f>
        <v/>
      </c>
      <c r="R248" s="96"/>
    </row>
    <row r="249" spans="1:18" x14ac:dyDescent="0.3">
      <c r="A249" s="83" t="str">
        <f>IF(TRIM(H249)&lt;&gt;"",COUNTA(H$9:$H249)&amp;"","")</f>
        <v>174</v>
      </c>
      <c r="B249" s="84" t="s">
        <v>372</v>
      </c>
      <c r="C249" s="84" t="s">
        <v>410</v>
      </c>
      <c r="D249" s="85"/>
      <c r="E249" s="97" t="s">
        <v>411</v>
      </c>
      <c r="F249" s="87">
        <v>1</v>
      </c>
      <c r="H249" s="88" t="s">
        <v>232</v>
      </c>
      <c r="I249" s="89">
        <f t="shared" si="280"/>
        <v>0</v>
      </c>
      <c r="J249" s="90">
        <f t="shared" si="281"/>
        <v>1</v>
      </c>
      <c r="K249" s="91">
        <f t="shared" si="282"/>
        <v>0</v>
      </c>
      <c r="L249" s="92">
        <f t="shared" si="283"/>
        <v>0</v>
      </c>
      <c r="M249" s="93">
        <f t="shared" si="284"/>
        <v>0</v>
      </c>
      <c r="N249" s="94">
        <f t="shared" si="285"/>
        <v>0</v>
      </c>
      <c r="O249" s="94">
        <f t="shared" si="286"/>
        <v>0</v>
      </c>
      <c r="P249" s="92">
        <f t="shared" si="287"/>
        <v>0</v>
      </c>
      <c r="Q249" s="95">
        <f t="shared" si="288"/>
        <v>0</v>
      </c>
      <c r="R249" s="96"/>
    </row>
    <row r="250" spans="1:18" ht="15" thickBot="1" x14ac:dyDescent="0.35">
      <c r="A250" s="83" t="str">
        <f>IF(TRIM(H250)&lt;&gt;"",COUNTA(H$9:$H250)&amp;"","")</f>
        <v/>
      </c>
      <c r="B250" s="98"/>
      <c r="C250" s="98"/>
      <c r="D250" s="85"/>
      <c r="E250" s="99"/>
      <c r="F250" s="87"/>
      <c r="H250" s="88"/>
      <c r="I250" s="89" t="str">
        <f t="shared" si="280"/>
        <v/>
      </c>
      <c r="J250" s="90" t="str">
        <f t="shared" si="281"/>
        <v/>
      </c>
      <c r="K250" s="91" t="str">
        <f t="shared" si="282"/>
        <v/>
      </c>
      <c r="L250" s="92" t="str">
        <f t="shared" si="283"/>
        <v/>
      </c>
      <c r="M250" s="93" t="str">
        <f t="shared" si="284"/>
        <v/>
      </c>
      <c r="N250" s="94" t="str">
        <f t="shared" si="285"/>
        <v/>
      </c>
      <c r="O250" s="94" t="str">
        <f t="shared" si="286"/>
        <v/>
      </c>
      <c r="P250" s="92" t="str">
        <f t="shared" si="287"/>
        <v/>
      </c>
      <c r="Q250" s="95" t="str">
        <f t="shared" si="288"/>
        <v/>
      </c>
      <c r="R250" s="96"/>
    </row>
    <row r="251" spans="1:18" s="111" customFormat="1" ht="16.2" thickBot="1" x14ac:dyDescent="0.35">
      <c r="A251" s="83" t="str">
        <f>IF(TRIM(H251)&lt;&gt;"",COUNTA(H$9:$H251)&amp;"","")</f>
        <v/>
      </c>
      <c r="B251" s="118"/>
      <c r="C251" s="118"/>
      <c r="D251" s="119"/>
      <c r="E251" s="102"/>
      <c r="F251" s="87"/>
      <c r="H251" s="120"/>
      <c r="I251" s="105" t="s">
        <v>12</v>
      </c>
      <c r="J251" s="106"/>
      <c r="K251" s="107">
        <f>SUM(L$231:L$250)</f>
        <v>0</v>
      </c>
      <c r="L251" s="211" t="s">
        <v>13</v>
      </c>
      <c r="M251" s="212"/>
      <c r="N251" s="108">
        <f>SUM(P$231:P$250)</f>
        <v>0</v>
      </c>
      <c r="O251" s="211" t="s">
        <v>42</v>
      </c>
      <c r="P251" s="212"/>
      <c r="Q251" s="109">
        <f>SUM(O$231:O$250)</f>
        <v>0</v>
      </c>
      <c r="R251" s="110">
        <f>SUM(Q$231:Q$250)</f>
        <v>0</v>
      </c>
    </row>
    <row r="252" spans="1:18" s="164" customFormat="1" ht="20.100000000000001" customHeight="1" x14ac:dyDescent="0.3">
      <c r="A252" s="160" t="str">
        <f>IF(TRIM(H252)&lt;&gt;"",COUNTA(H$9:$H252)&amp;"","")</f>
        <v/>
      </c>
      <c r="B252" s="161"/>
      <c r="C252" s="161"/>
      <c r="D252" s="162" t="s">
        <v>62</v>
      </c>
      <c r="E252" s="162" t="s">
        <v>105</v>
      </c>
      <c r="F252" s="163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5"/>
    </row>
    <row r="253" spans="1:18" s="113" customFormat="1" ht="19.2" customHeight="1" x14ac:dyDescent="0.3">
      <c r="A253" s="83" t="str">
        <f>IF(TRIM(H253)&lt;&gt;"",COUNTA(H$9:$H253)&amp;"","")</f>
        <v/>
      </c>
      <c r="B253" s="112"/>
      <c r="C253" s="112"/>
      <c r="D253" s="85" t="s">
        <v>215</v>
      </c>
      <c r="E253" s="157" t="s">
        <v>214</v>
      </c>
      <c r="F253" s="87"/>
      <c r="H253" s="88"/>
      <c r="I253" s="89" t="str">
        <f t="shared" ref="I253:I262" si="289">IF(F253=0,"",0)</f>
        <v/>
      </c>
      <c r="J253" s="90" t="str">
        <f t="shared" ref="J253:J262" si="290">IF(F253=0,"",F253+(F253*I253))</f>
        <v/>
      </c>
      <c r="K253" s="91" t="str">
        <f t="shared" ref="K253:K262" si="291">IF(F253=0,"",0)</f>
        <v/>
      </c>
      <c r="L253" s="92" t="str">
        <f t="shared" ref="L253:L262" si="292">IF(F253=0,"",K253*J253)</f>
        <v/>
      </c>
      <c r="M253" s="93" t="str">
        <f t="shared" ref="M253:M262" si="293">IF(F253=0,"",M$7)</f>
        <v/>
      </c>
      <c r="N253" s="94" t="str">
        <f t="shared" ref="N253:N262" si="294">IF(F253=0,"",0)</f>
        <v/>
      </c>
      <c r="O253" s="94" t="str">
        <f t="shared" ref="O253:O262" si="295">IF(F253=0,"",N253*J253)</f>
        <v/>
      </c>
      <c r="P253" s="92" t="str">
        <f t="shared" ref="P253:P262" si="296">IF(F253=0,"",O253*M253)</f>
        <v/>
      </c>
      <c r="Q253" s="95" t="str">
        <f t="shared" ref="Q253:Q262" si="297">IF(F253=0,"",L253+P253)</f>
        <v/>
      </c>
      <c r="R253" s="96"/>
    </row>
    <row r="254" spans="1:18" x14ac:dyDescent="0.3">
      <c r="A254" s="83" t="str">
        <f>IF(TRIM(H254)&lt;&gt;"",COUNTA(H$9:$H254)&amp;"","")</f>
        <v>175</v>
      </c>
      <c r="B254" s="84" t="s">
        <v>507</v>
      </c>
      <c r="C254" s="84"/>
      <c r="D254" s="85"/>
      <c r="E254" s="97" t="s">
        <v>541</v>
      </c>
      <c r="F254" s="87">
        <v>138</v>
      </c>
      <c r="H254" s="88" t="s">
        <v>147</v>
      </c>
      <c r="I254" s="89">
        <f t="shared" si="289"/>
        <v>0</v>
      </c>
      <c r="J254" s="90">
        <f t="shared" si="290"/>
        <v>138</v>
      </c>
      <c r="K254" s="91">
        <f t="shared" si="291"/>
        <v>0</v>
      </c>
      <c r="L254" s="92">
        <f t="shared" si="292"/>
        <v>0</v>
      </c>
      <c r="M254" s="93">
        <f t="shared" si="293"/>
        <v>0</v>
      </c>
      <c r="N254" s="94">
        <f t="shared" si="294"/>
        <v>0</v>
      </c>
      <c r="O254" s="94">
        <f t="shared" si="295"/>
        <v>0</v>
      </c>
      <c r="P254" s="92">
        <f t="shared" si="296"/>
        <v>0</v>
      </c>
      <c r="Q254" s="95">
        <f t="shared" si="297"/>
        <v>0</v>
      </c>
      <c r="R254" s="96"/>
    </row>
    <row r="255" spans="1:18" s="113" customFormat="1" ht="19.2" customHeight="1" x14ac:dyDescent="0.3">
      <c r="A255" s="83" t="str">
        <f>IF(TRIM(H255)&lt;&gt;"",COUNTA(H$9:$H255)&amp;"","")</f>
        <v/>
      </c>
      <c r="B255" s="112"/>
      <c r="C255" s="112"/>
      <c r="D255" s="85" t="s">
        <v>217</v>
      </c>
      <c r="E255" s="157" t="s">
        <v>216</v>
      </c>
      <c r="F255" s="87"/>
      <c r="H255" s="88"/>
      <c r="I255" s="89" t="str">
        <f t="shared" si="289"/>
        <v/>
      </c>
      <c r="J255" s="90" t="str">
        <f t="shared" si="290"/>
        <v/>
      </c>
      <c r="K255" s="91" t="str">
        <f t="shared" si="291"/>
        <v/>
      </c>
      <c r="L255" s="92" t="str">
        <f t="shared" si="292"/>
        <v/>
      </c>
      <c r="M255" s="93" t="str">
        <f t="shared" si="293"/>
        <v/>
      </c>
      <c r="N255" s="94" t="str">
        <f t="shared" si="294"/>
        <v/>
      </c>
      <c r="O255" s="94" t="str">
        <f t="shared" si="295"/>
        <v/>
      </c>
      <c r="P255" s="92" t="str">
        <f t="shared" si="296"/>
        <v/>
      </c>
      <c r="Q255" s="95" t="str">
        <f t="shared" si="297"/>
        <v/>
      </c>
      <c r="R255" s="96"/>
    </row>
    <row r="256" spans="1:18" x14ac:dyDescent="0.3">
      <c r="A256" s="83" t="str">
        <f>IF(TRIM(H256)&lt;&gt;"",COUNTA(H$9:$H256)&amp;"","")</f>
        <v>176</v>
      </c>
      <c r="B256" s="84" t="s">
        <v>384</v>
      </c>
      <c r="C256" s="84" t="s">
        <v>377</v>
      </c>
      <c r="D256" s="85"/>
      <c r="E256" s="97" t="s">
        <v>385</v>
      </c>
      <c r="F256" s="87">
        <v>11</v>
      </c>
      <c r="H256" s="88" t="s">
        <v>175</v>
      </c>
      <c r="I256" s="89">
        <f t="shared" si="289"/>
        <v>0</v>
      </c>
      <c r="J256" s="90">
        <f t="shared" si="290"/>
        <v>11</v>
      </c>
      <c r="K256" s="91">
        <f t="shared" si="291"/>
        <v>0</v>
      </c>
      <c r="L256" s="92">
        <f t="shared" si="292"/>
        <v>0</v>
      </c>
      <c r="M256" s="93">
        <f t="shared" si="293"/>
        <v>0</v>
      </c>
      <c r="N256" s="94">
        <f t="shared" si="294"/>
        <v>0</v>
      </c>
      <c r="O256" s="94">
        <f t="shared" si="295"/>
        <v>0</v>
      </c>
      <c r="P256" s="92">
        <f t="shared" si="296"/>
        <v>0</v>
      </c>
      <c r="Q256" s="95">
        <f t="shared" si="297"/>
        <v>0</v>
      </c>
      <c r="R256" s="96"/>
    </row>
    <row r="257" spans="1:18" x14ac:dyDescent="0.3">
      <c r="A257" s="83" t="str">
        <f>IF(TRIM(H257)&lt;&gt;"",COUNTA(H$9:$H257)&amp;"","")</f>
        <v>177</v>
      </c>
      <c r="B257" s="84" t="s">
        <v>382</v>
      </c>
      <c r="C257" s="84" t="s">
        <v>387</v>
      </c>
      <c r="D257" s="85"/>
      <c r="E257" s="97" t="s">
        <v>386</v>
      </c>
      <c r="F257" s="87">
        <v>14</v>
      </c>
      <c r="H257" s="88" t="s">
        <v>175</v>
      </c>
      <c r="I257" s="89">
        <f t="shared" si="289"/>
        <v>0</v>
      </c>
      <c r="J257" s="90">
        <f t="shared" si="290"/>
        <v>14</v>
      </c>
      <c r="K257" s="91">
        <f t="shared" si="291"/>
        <v>0</v>
      </c>
      <c r="L257" s="92">
        <f t="shared" si="292"/>
        <v>0</v>
      </c>
      <c r="M257" s="93">
        <f t="shared" si="293"/>
        <v>0</v>
      </c>
      <c r="N257" s="94">
        <f t="shared" si="294"/>
        <v>0</v>
      </c>
      <c r="O257" s="94">
        <f t="shared" si="295"/>
        <v>0</v>
      </c>
      <c r="P257" s="92">
        <f t="shared" si="296"/>
        <v>0</v>
      </c>
      <c r="Q257" s="95">
        <f t="shared" si="297"/>
        <v>0</v>
      </c>
      <c r="R257" s="96"/>
    </row>
    <row r="258" spans="1:18" x14ac:dyDescent="0.3">
      <c r="A258" s="83" t="str">
        <f>IF(TRIM(H258)&lt;&gt;"",COUNTA(H$9:$H258)&amp;"","")</f>
        <v>178</v>
      </c>
      <c r="B258" s="84" t="s">
        <v>389</v>
      </c>
      <c r="C258" s="84" t="s">
        <v>390</v>
      </c>
      <c r="D258" s="85"/>
      <c r="E258" s="97" t="s">
        <v>388</v>
      </c>
      <c r="F258" s="87">
        <v>7</v>
      </c>
      <c r="H258" s="88" t="s">
        <v>175</v>
      </c>
      <c r="I258" s="89">
        <f t="shared" si="289"/>
        <v>0</v>
      </c>
      <c r="J258" s="90">
        <f t="shared" si="290"/>
        <v>7</v>
      </c>
      <c r="K258" s="91">
        <f t="shared" si="291"/>
        <v>0</v>
      </c>
      <c r="L258" s="92">
        <f t="shared" si="292"/>
        <v>0</v>
      </c>
      <c r="M258" s="93">
        <f t="shared" si="293"/>
        <v>0</v>
      </c>
      <c r="N258" s="94">
        <f t="shared" si="294"/>
        <v>0</v>
      </c>
      <c r="O258" s="94">
        <f t="shared" si="295"/>
        <v>0</v>
      </c>
      <c r="P258" s="92">
        <f t="shared" si="296"/>
        <v>0</v>
      </c>
      <c r="Q258" s="95">
        <f t="shared" si="297"/>
        <v>0</v>
      </c>
      <c r="R258" s="96"/>
    </row>
    <row r="259" spans="1:18" s="113" customFormat="1" ht="19.2" customHeight="1" x14ac:dyDescent="0.3">
      <c r="A259" s="83" t="str">
        <f>IF(TRIM(H259)&lt;&gt;"",COUNTA(H$9:$H259)&amp;"","")</f>
        <v/>
      </c>
      <c r="B259" s="112"/>
      <c r="C259" s="112"/>
      <c r="D259" s="85" t="s">
        <v>219</v>
      </c>
      <c r="E259" s="157" t="s">
        <v>218</v>
      </c>
      <c r="F259" s="87"/>
      <c r="H259" s="88"/>
      <c r="I259" s="89" t="str">
        <f t="shared" si="289"/>
        <v/>
      </c>
      <c r="J259" s="90" t="str">
        <f t="shared" si="290"/>
        <v/>
      </c>
      <c r="K259" s="91" t="str">
        <f t="shared" si="291"/>
        <v/>
      </c>
      <c r="L259" s="92" t="str">
        <f t="shared" si="292"/>
        <v/>
      </c>
      <c r="M259" s="93" t="str">
        <f t="shared" si="293"/>
        <v/>
      </c>
      <c r="N259" s="94" t="str">
        <f t="shared" si="294"/>
        <v/>
      </c>
      <c r="O259" s="94" t="str">
        <f t="shared" si="295"/>
        <v/>
      </c>
      <c r="P259" s="92" t="str">
        <f t="shared" si="296"/>
        <v/>
      </c>
      <c r="Q259" s="95" t="str">
        <f t="shared" si="297"/>
        <v/>
      </c>
      <c r="R259" s="96"/>
    </row>
    <row r="260" spans="1:18" x14ac:dyDescent="0.3">
      <c r="A260" s="83" t="str">
        <f>IF(TRIM(H260)&lt;&gt;"",COUNTA(H$9:$H260)&amp;"","")</f>
        <v>179</v>
      </c>
      <c r="B260" s="84" t="s">
        <v>380</v>
      </c>
      <c r="C260" s="84" t="s">
        <v>377</v>
      </c>
      <c r="D260" s="85"/>
      <c r="E260" s="97" t="s">
        <v>378</v>
      </c>
      <c r="F260" s="87">
        <v>310</v>
      </c>
      <c r="H260" s="88" t="s">
        <v>147</v>
      </c>
      <c r="I260" s="89">
        <f t="shared" si="289"/>
        <v>0</v>
      </c>
      <c r="J260" s="90">
        <f t="shared" si="290"/>
        <v>310</v>
      </c>
      <c r="K260" s="91">
        <f t="shared" si="291"/>
        <v>0</v>
      </c>
      <c r="L260" s="92">
        <f t="shared" si="292"/>
        <v>0</v>
      </c>
      <c r="M260" s="93">
        <f t="shared" si="293"/>
        <v>0</v>
      </c>
      <c r="N260" s="94">
        <f t="shared" si="294"/>
        <v>0</v>
      </c>
      <c r="O260" s="94">
        <f t="shared" si="295"/>
        <v>0</v>
      </c>
      <c r="P260" s="92">
        <f t="shared" si="296"/>
        <v>0</v>
      </c>
      <c r="Q260" s="95">
        <f t="shared" si="297"/>
        <v>0</v>
      </c>
      <c r="R260" s="96"/>
    </row>
    <row r="261" spans="1:18" x14ac:dyDescent="0.3">
      <c r="A261" s="83" t="str">
        <f>IF(TRIM(H261)&lt;&gt;"",COUNTA(H$9:$H261)&amp;"","")</f>
        <v>180</v>
      </c>
      <c r="B261" s="84" t="s">
        <v>380</v>
      </c>
      <c r="C261" s="84" t="s">
        <v>377</v>
      </c>
      <c r="D261" s="85"/>
      <c r="E261" s="97" t="s">
        <v>379</v>
      </c>
      <c r="F261" s="87">
        <v>88</v>
      </c>
      <c r="H261" s="88" t="s">
        <v>175</v>
      </c>
      <c r="I261" s="89">
        <f t="shared" si="289"/>
        <v>0</v>
      </c>
      <c r="J261" s="90">
        <f t="shared" si="290"/>
        <v>88</v>
      </c>
      <c r="K261" s="91">
        <f t="shared" si="291"/>
        <v>0</v>
      </c>
      <c r="L261" s="92">
        <f t="shared" si="292"/>
        <v>0</v>
      </c>
      <c r="M261" s="93">
        <f t="shared" si="293"/>
        <v>0</v>
      </c>
      <c r="N261" s="94">
        <f t="shared" si="294"/>
        <v>0</v>
      </c>
      <c r="O261" s="94">
        <f t="shared" si="295"/>
        <v>0</v>
      </c>
      <c r="P261" s="92">
        <f t="shared" si="296"/>
        <v>0</v>
      </c>
      <c r="Q261" s="95">
        <f t="shared" si="297"/>
        <v>0</v>
      </c>
      <c r="R261" s="96"/>
    </row>
    <row r="262" spans="1:18" ht="15" thickBot="1" x14ac:dyDescent="0.35">
      <c r="A262" s="83" t="str">
        <f>IF(TRIM(H262)&lt;&gt;"",COUNTA(H$9:$H262)&amp;"","")</f>
        <v/>
      </c>
      <c r="B262" s="98"/>
      <c r="C262" s="98"/>
      <c r="D262" s="85"/>
      <c r="E262" s="99"/>
      <c r="F262" s="87"/>
      <c r="H262" s="88"/>
      <c r="I262" s="89" t="str">
        <f t="shared" si="289"/>
        <v/>
      </c>
      <c r="J262" s="90" t="str">
        <f t="shared" si="290"/>
        <v/>
      </c>
      <c r="K262" s="91" t="str">
        <f t="shared" si="291"/>
        <v/>
      </c>
      <c r="L262" s="92" t="str">
        <f t="shared" si="292"/>
        <v/>
      </c>
      <c r="M262" s="93" t="str">
        <f t="shared" si="293"/>
        <v/>
      </c>
      <c r="N262" s="94" t="str">
        <f t="shared" si="294"/>
        <v/>
      </c>
      <c r="O262" s="94" t="str">
        <f t="shared" si="295"/>
        <v/>
      </c>
      <c r="P262" s="92" t="str">
        <f t="shared" si="296"/>
        <v/>
      </c>
      <c r="Q262" s="95" t="str">
        <f t="shared" si="297"/>
        <v/>
      </c>
      <c r="R262" s="96"/>
    </row>
    <row r="263" spans="1:18" s="111" customFormat="1" ht="16.2" thickBot="1" x14ac:dyDescent="0.35">
      <c r="A263" s="83" t="str">
        <f>IF(TRIM(H263)&lt;&gt;"",COUNTA(H$9:$H263)&amp;"","")</f>
        <v/>
      </c>
      <c r="B263" s="118"/>
      <c r="C263" s="118"/>
      <c r="D263" s="119"/>
      <c r="E263" s="102"/>
      <c r="F263" s="87"/>
      <c r="H263" s="120"/>
      <c r="I263" s="105" t="s">
        <v>12</v>
      </c>
      <c r="J263" s="106"/>
      <c r="K263" s="107">
        <f>SUM(L$252:L$262)</f>
        <v>0</v>
      </c>
      <c r="L263" s="211" t="s">
        <v>13</v>
      </c>
      <c r="M263" s="212"/>
      <c r="N263" s="108">
        <f>SUM(P$252:P$262)</f>
        <v>0</v>
      </c>
      <c r="O263" s="211" t="s">
        <v>42</v>
      </c>
      <c r="P263" s="212"/>
      <c r="Q263" s="109">
        <f>SUM(O$252:O$262)</f>
        <v>0</v>
      </c>
      <c r="R263" s="110">
        <f>SUM(Q$252:Q$262)</f>
        <v>0</v>
      </c>
    </row>
    <row r="264" spans="1:18" s="164" customFormat="1" ht="20.100000000000001" customHeight="1" x14ac:dyDescent="0.3">
      <c r="A264" s="160" t="str">
        <f>IF(TRIM(H264)&lt;&gt;"",COUNTA(H$9:$H264)&amp;"","")</f>
        <v/>
      </c>
      <c r="B264" s="161"/>
      <c r="C264" s="161"/>
      <c r="D264" s="162">
        <v>210000</v>
      </c>
      <c r="E264" s="162" t="s">
        <v>136</v>
      </c>
      <c r="F264" s="163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5"/>
    </row>
    <row r="265" spans="1:18" ht="15.6" x14ac:dyDescent="0.3">
      <c r="A265" s="83" t="str">
        <f>IF(TRIM(H265)&lt;&gt;"",COUNTA(H$9:$H265)&amp;"","")</f>
        <v/>
      </c>
      <c r="B265" s="84"/>
      <c r="C265" s="84"/>
      <c r="D265" s="85"/>
      <c r="E265" s="157" t="s">
        <v>164</v>
      </c>
      <c r="F265" s="87"/>
      <c r="H265" s="88"/>
      <c r="I265" s="89" t="str">
        <f t="shared" ref="I265" si="298">IF(F265=0,"",0)</f>
        <v/>
      </c>
      <c r="J265" s="90" t="str">
        <f t="shared" ref="J265" si="299">IF(F265=0,"",F265+(F265*I265))</f>
        <v/>
      </c>
      <c r="K265" s="91" t="str">
        <f t="shared" ref="K265" si="300">IF(F265=0,"",0)</f>
        <v/>
      </c>
      <c r="L265" s="92" t="str">
        <f t="shared" ref="L265" si="301">IF(F265=0,"",K265*J265)</f>
        <v/>
      </c>
      <c r="M265" s="93" t="str">
        <f t="shared" ref="M265" si="302">IF(F265=0,"",M$7)</f>
        <v/>
      </c>
      <c r="N265" s="94" t="str">
        <f t="shared" ref="N265" si="303">IF(F265=0,"",0)</f>
        <v/>
      </c>
      <c r="O265" s="94" t="str">
        <f t="shared" ref="O265" si="304">IF(F265=0,"",N265*J265)</f>
        <v/>
      </c>
      <c r="P265" s="92" t="str">
        <f t="shared" ref="P265" si="305">IF(F265=0,"",O265*M265)</f>
        <v/>
      </c>
      <c r="Q265" s="95" t="str">
        <f t="shared" ref="Q265" si="306">IF(F265=0,"",L265+P265)</f>
        <v/>
      </c>
      <c r="R265" s="116"/>
    </row>
    <row r="266" spans="1:18" ht="41.4" x14ac:dyDescent="0.3">
      <c r="A266" s="83" t="str">
        <f>IF(TRIM(H266)&lt;&gt;"",COUNTA(H$9:$H266)&amp;"","")</f>
        <v>181</v>
      </c>
      <c r="B266" s="84" t="s">
        <v>542</v>
      </c>
      <c r="C266" s="84"/>
      <c r="D266" s="85"/>
      <c r="E266" s="86" t="s">
        <v>543</v>
      </c>
      <c r="F266" s="87">
        <v>8320</v>
      </c>
      <c r="H266" s="88" t="s">
        <v>147</v>
      </c>
      <c r="I266" s="89">
        <f t="shared" ref="I266:I267" si="307">IF(F266=0,"",0)</f>
        <v>0</v>
      </c>
      <c r="J266" s="90">
        <f t="shared" ref="J266:J267" si="308">IF(F266=0,"",F266+(F266*I266))</f>
        <v>8320</v>
      </c>
      <c r="K266" s="91">
        <f t="shared" ref="K266:K267" si="309">IF(F266=0,"",0)</f>
        <v>0</v>
      </c>
      <c r="L266" s="92">
        <f t="shared" ref="L266:L267" si="310">IF(F266=0,"",K266*J266)</f>
        <v>0</v>
      </c>
      <c r="M266" s="93">
        <f t="shared" ref="M266:M267" si="311">IF(F266=0,"",M$7)</f>
        <v>0</v>
      </c>
      <c r="N266" s="94">
        <f t="shared" ref="N266:N267" si="312">IF(F266=0,"",0)</f>
        <v>0</v>
      </c>
      <c r="O266" s="94">
        <f t="shared" ref="O266:O267" si="313">IF(F266=0,"",N266*J266)</f>
        <v>0</v>
      </c>
      <c r="P266" s="92">
        <f t="shared" ref="P266:P267" si="314">IF(F266=0,"",O266*M266)</f>
        <v>0</v>
      </c>
      <c r="Q266" s="95">
        <f t="shared" ref="Q266:Q267" si="315">IF(F266=0,"",L266+P266)</f>
        <v>0</v>
      </c>
      <c r="R266" s="116"/>
    </row>
    <row r="267" spans="1:18" ht="15" thickBot="1" x14ac:dyDescent="0.35">
      <c r="A267" s="83" t="str">
        <f>IF(TRIM(H267)&lt;&gt;"",COUNTA(H$9:$H267)&amp;"","")</f>
        <v/>
      </c>
      <c r="B267" s="98"/>
      <c r="C267" s="98"/>
      <c r="D267" s="85"/>
      <c r="E267" s="99"/>
      <c r="F267" s="87"/>
      <c r="H267" s="88"/>
      <c r="I267" s="89" t="str">
        <f t="shared" si="307"/>
        <v/>
      </c>
      <c r="J267" s="90" t="str">
        <f t="shared" si="308"/>
        <v/>
      </c>
      <c r="K267" s="91" t="str">
        <f t="shared" si="309"/>
        <v/>
      </c>
      <c r="L267" s="92" t="str">
        <f t="shared" si="310"/>
        <v/>
      </c>
      <c r="M267" s="93" t="str">
        <f t="shared" si="311"/>
        <v/>
      </c>
      <c r="N267" s="94" t="str">
        <f t="shared" si="312"/>
        <v/>
      </c>
      <c r="O267" s="94" t="str">
        <f t="shared" si="313"/>
        <v/>
      </c>
      <c r="P267" s="92" t="str">
        <f t="shared" si="314"/>
        <v/>
      </c>
      <c r="Q267" s="95" t="str">
        <f t="shared" si="315"/>
        <v/>
      </c>
      <c r="R267" s="116"/>
    </row>
    <row r="268" spans="1:18" s="111" customFormat="1" ht="16.2" thickBot="1" x14ac:dyDescent="0.35">
      <c r="A268" s="83" t="str">
        <f>IF(TRIM(H268)&lt;&gt;"",COUNTA(H$9:$H268)&amp;"","")</f>
        <v/>
      </c>
      <c r="B268" s="118"/>
      <c r="C268" s="118"/>
      <c r="D268" s="119"/>
      <c r="E268" s="102"/>
      <c r="F268" s="87"/>
      <c r="H268" s="120"/>
      <c r="I268" s="105" t="s">
        <v>12</v>
      </c>
      <c r="J268" s="106"/>
      <c r="K268" s="107">
        <f>SUM(L$264:L$267)</f>
        <v>0</v>
      </c>
      <c r="L268" s="211" t="s">
        <v>13</v>
      </c>
      <c r="M268" s="212"/>
      <c r="N268" s="108">
        <f>SUM(P$264:P$267)</f>
        <v>0</v>
      </c>
      <c r="O268" s="211" t="s">
        <v>42</v>
      </c>
      <c r="P268" s="212"/>
      <c r="Q268" s="109">
        <f>SUM(O$264:O$267)</f>
        <v>0</v>
      </c>
      <c r="R268" s="110">
        <f>SUM(Q$264:Q$267)</f>
        <v>0</v>
      </c>
    </row>
    <row r="269" spans="1:18" s="164" customFormat="1" ht="20.100000000000001" customHeight="1" x14ac:dyDescent="0.3">
      <c r="A269" s="160" t="str">
        <f>IF(TRIM(H269)&lt;&gt;"",COUNTA(H$9:$H269)&amp;"","")</f>
        <v/>
      </c>
      <c r="B269" s="161"/>
      <c r="C269" s="161"/>
      <c r="D269" s="162">
        <v>220000</v>
      </c>
      <c r="E269" s="162" t="s">
        <v>137</v>
      </c>
      <c r="F269" s="163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5"/>
    </row>
    <row r="270" spans="1:18" s="113" customFormat="1" ht="19.2" customHeight="1" x14ac:dyDescent="0.3">
      <c r="A270" s="83"/>
      <c r="B270" s="112"/>
      <c r="C270" s="112"/>
      <c r="D270" s="85"/>
      <c r="E270" s="121" t="s">
        <v>593</v>
      </c>
      <c r="F270" s="87"/>
      <c r="H270" s="88"/>
      <c r="I270" s="89"/>
      <c r="J270" s="90"/>
      <c r="K270" s="91"/>
      <c r="L270" s="92"/>
      <c r="M270" s="93"/>
      <c r="N270" s="94"/>
      <c r="O270" s="94"/>
      <c r="P270" s="92"/>
      <c r="Q270" s="95"/>
      <c r="R270" s="96"/>
    </row>
    <row r="271" spans="1:18" ht="27.6" x14ac:dyDescent="0.3">
      <c r="A271" s="83" t="str">
        <f>IF(TRIM(H271)&lt;&gt;"",COUNTA(H$9:$H271)&amp;"","")</f>
        <v>182</v>
      </c>
      <c r="B271" s="84"/>
      <c r="C271" s="84"/>
      <c r="D271" s="85"/>
      <c r="E271" s="97" t="s">
        <v>594</v>
      </c>
      <c r="F271" s="87">
        <v>1</v>
      </c>
      <c r="H271" s="88" t="s">
        <v>232</v>
      </c>
      <c r="I271" s="89">
        <f t="shared" ref="I271:I274" si="316">IF(F271=0,"",0)</f>
        <v>0</v>
      </c>
      <c r="J271" s="90">
        <f t="shared" ref="J271:J274" si="317">IF(F271=0,"",F271+(F271*I271))</f>
        <v>1</v>
      </c>
      <c r="K271" s="91">
        <f t="shared" ref="K271:K274" si="318">IF(F271=0,"",0)</f>
        <v>0</v>
      </c>
      <c r="L271" s="92">
        <f t="shared" ref="L271:L274" si="319">IF(F271=0,"",K271*J271)</f>
        <v>0</v>
      </c>
      <c r="M271" s="93">
        <f t="shared" ref="M271:M274" si="320">IF(F271=0,"",M$7)</f>
        <v>0</v>
      </c>
      <c r="N271" s="94">
        <f t="shared" ref="N271:N274" si="321">IF(F271=0,"",0)</f>
        <v>0</v>
      </c>
      <c r="O271" s="94">
        <f t="shared" ref="O271:O274" si="322">IF(F271=0,"",N271*J271)</f>
        <v>0</v>
      </c>
      <c r="P271" s="92">
        <f t="shared" ref="P271:P274" si="323">IF(F271=0,"",O271*M271)</f>
        <v>0</v>
      </c>
      <c r="Q271" s="95">
        <f t="shared" ref="Q271:Q274" si="324">IF(F271=0,"",L271+P271)</f>
        <v>0</v>
      </c>
      <c r="R271" s="96"/>
    </row>
    <row r="272" spans="1:18" x14ac:dyDescent="0.3">
      <c r="A272" s="83" t="str">
        <f>IF(TRIM(H272)&lt;&gt;"",COUNTA(H$9:$H272)&amp;"","")</f>
        <v>183</v>
      </c>
      <c r="B272" s="84"/>
      <c r="C272" s="84"/>
      <c r="D272" s="85"/>
      <c r="E272" s="97" t="s">
        <v>595</v>
      </c>
      <c r="F272" s="87">
        <v>7</v>
      </c>
      <c r="H272" s="88" t="s">
        <v>232</v>
      </c>
      <c r="I272" s="89">
        <f t="shared" si="316"/>
        <v>0</v>
      </c>
      <c r="J272" s="90">
        <f t="shared" si="317"/>
        <v>7</v>
      </c>
      <c r="K272" s="91">
        <f t="shared" si="318"/>
        <v>0</v>
      </c>
      <c r="L272" s="92">
        <f t="shared" si="319"/>
        <v>0</v>
      </c>
      <c r="M272" s="93">
        <f t="shared" si="320"/>
        <v>0</v>
      </c>
      <c r="N272" s="94">
        <f t="shared" si="321"/>
        <v>0</v>
      </c>
      <c r="O272" s="94">
        <f t="shared" si="322"/>
        <v>0</v>
      </c>
      <c r="P272" s="92">
        <f t="shared" si="323"/>
        <v>0</v>
      </c>
      <c r="Q272" s="95">
        <f t="shared" si="324"/>
        <v>0</v>
      </c>
      <c r="R272" s="96"/>
    </row>
    <row r="273" spans="1:18" ht="27.6" x14ac:dyDescent="0.3">
      <c r="A273" s="83" t="str">
        <f>IF(TRIM(H273)&lt;&gt;"",COUNTA(H$9:$H273)&amp;"","")</f>
        <v>184</v>
      </c>
      <c r="B273" s="84"/>
      <c r="C273" s="84"/>
      <c r="D273" s="85"/>
      <c r="E273" s="97" t="s">
        <v>596</v>
      </c>
      <c r="F273" s="87">
        <v>1</v>
      </c>
      <c r="H273" s="88" t="s">
        <v>232</v>
      </c>
      <c r="I273" s="89">
        <f t="shared" si="316"/>
        <v>0</v>
      </c>
      <c r="J273" s="90">
        <f t="shared" si="317"/>
        <v>1</v>
      </c>
      <c r="K273" s="91">
        <f t="shared" si="318"/>
        <v>0</v>
      </c>
      <c r="L273" s="92">
        <f t="shared" si="319"/>
        <v>0</v>
      </c>
      <c r="M273" s="93">
        <f t="shared" si="320"/>
        <v>0</v>
      </c>
      <c r="N273" s="94">
        <f t="shared" si="321"/>
        <v>0</v>
      </c>
      <c r="O273" s="94">
        <f t="shared" si="322"/>
        <v>0</v>
      </c>
      <c r="P273" s="92">
        <f t="shared" si="323"/>
        <v>0</v>
      </c>
      <c r="Q273" s="95">
        <f t="shared" si="324"/>
        <v>0</v>
      </c>
      <c r="R273" s="96"/>
    </row>
    <row r="274" spans="1:18" ht="27.6" x14ac:dyDescent="0.3">
      <c r="A274" s="83" t="str">
        <f>IF(TRIM(H274)&lt;&gt;"",COUNTA(H$9:$H274)&amp;"","")</f>
        <v>185</v>
      </c>
      <c r="B274" s="98"/>
      <c r="C274" s="98"/>
      <c r="D274" s="85"/>
      <c r="E274" s="99" t="s">
        <v>597</v>
      </c>
      <c r="F274" s="87">
        <v>1</v>
      </c>
      <c r="H274" s="88" t="s">
        <v>232</v>
      </c>
      <c r="I274" s="89">
        <f t="shared" si="316"/>
        <v>0</v>
      </c>
      <c r="J274" s="90">
        <f t="shared" si="317"/>
        <v>1</v>
      </c>
      <c r="K274" s="91">
        <f t="shared" si="318"/>
        <v>0</v>
      </c>
      <c r="L274" s="92">
        <f t="shared" si="319"/>
        <v>0</v>
      </c>
      <c r="M274" s="93">
        <f t="shared" si="320"/>
        <v>0</v>
      </c>
      <c r="N274" s="94">
        <f t="shared" si="321"/>
        <v>0</v>
      </c>
      <c r="O274" s="94">
        <f t="shared" si="322"/>
        <v>0</v>
      </c>
      <c r="P274" s="92">
        <f t="shared" si="323"/>
        <v>0</v>
      </c>
      <c r="Q274" s="95">
        <f t="shared" si="324"/>
        <v>0</v>
      </c>
      <c r="R274" s="96"/>
    </row>
    <row r="275" spans="1:18" ht="15.6" x14ac:dyDescent="0.3">
      <c r="A275" s="83" t="str">
        <f>IF(TRIM(H275)&lt;&gt;"",COUNTA(H$9:$H275)&amp;"","")</f>
        <v/>
      </c>
      <c r="B275" s="84"/>
      <c r="C275" s="84"/>
      <c r="D275" s="85"/>
      <c r="E275" s="158" t="s">
        <v>164</v>
      </c>
      <c r="F275" s="87"/>
      <c r="H275" s="88"/>
      <c r="I275" s="89" t="str">
        <f t="shared" ref="I275:I297" si="325">IF(F275=0,"",0)</f>
        <v/>
      </c>
      <c r="J275" s="90" t="str">
        <f t="shared" ref="J275:J297" si="326">IF(F275=0,"",F275+(F275*I275))</f>
        <v/>
      </c>
      <c r="K275" s="91" t="str">
        <f t="shared" ref="K275:K297" si="327">IF(F275=0,"",0)</f>
        <v/>
      </c>
      <c r="L275" s="92" t="str">
        <f t="shared" ref="L275:L297" si="328">IF(F275=0,"",K275*J275)</f>
        <v/>
      </c>
      <c r="M275" s="93" t="str">
        <f t="shared" ref="M275:M297" si="329">IF(F275=0,"",M$7)</f>
        <v/>
      </c>
      <c r="N275" s="94" t="str">
        <f t="shared" ref="N275:N297" si="330">IF(F275=0,"",0)</f>
        <v/>
      </c>
      <c r="O275" s="94" t="str">
        <f t="shared" ref="O275:O297" si="331">IF(F275=0,"",N275*J275)</f>
        <v/>
      </c>
      <c r="P275" s="92" t="str">
        <f t="shared" ref="P275:P297" si="332">IF(F275=0,"",O275*M275)</f>
        <v/>
      </c>
      <c r="Q275" s="95" t="str">
        <f t="shared" ref="Q275:Q297" si="333">IF(F275=0,"",L275+P275)</f>
        <v/>
      </c>
      <c r="R275" s="116"/>
    </row>
    <row r="276" spans="1:18" x14ac:dyDescent="0.3">
      <c r="A276" s="83" t="str">
        <f>IF(TRIM(H276)&lt;&gt;"",COUNTA(H$9:$H276)&amp;"","")</f>
        <v/>
      </c>
      <c r="B276" s="84"/>
      <c r="C276" s="84"/>
      <c r="D276" s="85"/>
      <c r="E276" s="121" t="s">
        <v>544</v>
      </c>
      <c r="F276" s="87"/>
      <c r="H276" s="88"/>
      <c r="I276" s="89" t="str">
        <f>IF(F276=0,"",0)</f>
        <v/>
      </c>
      <c r="J276" s="90" t="str">
        <f t="shared" si="326"/>
        <v/>
      </c>
      <c r="K276" s="91" t="str">
        <f t="shared" si="327"/>
        <v/>
      </c>
      <c r="L276" s="92" t="str">
        <f t="shared" si="328"/>
        <v/>
      </c>
      <c r="M276" s="93" t="str">
        <f t="shared" si="329"/>
        <v/>
      </c>
      <c r="N276" s="94" t="str">
        <f t="shared" si="330"/>
        <v/>
      </c>
      <c r="O276" s="94" t="str">
        <f t="shared" si="331"/>
        <v/>
      </c>
      <c r="P276" s="92" t="str">
        <f t="shared" si="332"/>
        <v/>
      </c>
      <c r="Q276" s="95" t="str">
        <f t="shared" si="333"/>
        <v/>
      </c>
      <c r="R276" s="116"/>
    </row>
    <row r="277" spans="1:18" x14ac:dyDescent="0.3">
      <c r="A277" s="83" t="str">
        <f>IF(TRIM(H277)&lt;&gt;"",COUNTA(H$9:$H277)&amp;"","")</f>
        <v>186</v>
      </c>
      <c r="B277" s="84"/>
      <c r="C277" s="84"/>
      <c r="D277" s="85"/>
      <c r="E277" s="97" t="s">
        <v>545</v>
      </c>
      <c r="F277" s="87">
        <v>26.07</v>
      </c>
      <c r="H277" s="88" t="s">
        <v>175</v>
      </c>
      <c r="I277" s="89">
        <v>0.05</v>
      </c>
      <c r="J277" s="90">
        <f t="shared" si="326"/>
        <v>27.3735</v>
      </c>
      <c r="K277" s="91">
        <f t="shared" si="327"/>
        <v>0</v>
      </c>
      <c r="L277" s="92">
        <f t="shared" si="328"/>
        <v>0</v>
      </c>
      <c r="M277" s="93">
        <f t="shared" si="329"/>
        <v>0</v>
      </c>
      <c r="N277" s="94">
        <f t="shared" si="330"/>
        <v>0</v>
      </c>
      <c r="O277" s="94">
        <f t="shared" si="331"/>
        <v>0</v>
      </c>
      <c r="P277" s="92">
        <f t="shared" si="332"/>
        <v>0</v>
      </c>
      <c r="Q277" s="95">
        <f t="shared" si="333"/>
        <v>0</v>
      </c>
      <c r="R277" s="116"/>
    </row>
    <row r="278" spans="1:18" x14ac:dyDescent="0.3">
      <c r="A278" s="83" t="str">
        <f>IF(TRIM(H278)&lt;&gt;"",COUNTA(H$9:$H278)&amp;"","")</f>
        <v>187</v>
      </c>
      <c r="B278" s="84"/>
      <c r="C278" s="84"/>
      <c r="D278" s="85"/>
      <c r="E278" s="86" t="s">
        <v>546</v>
      </c>
      <c r="F278" s="87">
        <v>7.69</v>
      </c>
      <c r="H278" s="88" t="s">
        <v>175</v>
      </c>
      <c r="I278" s="89">
        <v>0.05</v>
      </c>
      <c r="J278" s="90">
        <f t="shared" si="326"/>
        <v>8.0745000000000005</v>
      </c>
      <c r="K278" s="91">
        <f t="shared" si="327"/>
        <v>0</v>
      </c>
      <c r="L278" s="92">
        <f t="shared" si="328"/>
        <v>0</v>
      </c>
      <c r="M278" s="93">
        <f t="shared" si="329"/>
        <v>0</v>
      </c>
      <c r="N278" s="94">
        <f t="shared" si="330"/>
        <v>0</v>
      </c>
      <c r="O278" s="94">
        <f t="shared" si="331"/>
        <v>0</v>
      </c>
      <c r="P278" s="92">
        <f t="shared" si="332"/>
        <v>0</v>
      </c>
      <c r="Q278" s="95">
        <f t="shared" si="333"/>
        <v>0</v>
      </c>
      <c r="R278" s="116"/>
    </row>
    <row r="279" spans="1:18" x14ac:dyDescent="0.3">
      <c r="A279" s="83" t="str">
        <f>IF(TRIM(H279)&lt;&gt;"",COUNTA(H$9:$H279)&amp;"","")</f>
        <v>188</v>
      </c>
      <c r="B279" s="84"/>
      <c r="C279" s="84"/>
      <c r="D279" s="85"/>
      <c r="E279" s="86" t="s">
        <v>546</v>
      </c>
      <c r="F279" s="87">
        <v>40.74</v>
      </c>
      <c r="H279" s="88" t="s">
        <v>175</v>
      </c>
      <c r="I279" s="89">
        <v>0.05</v>
      </c>
      <c r="J279" s="90">
        <f t="shared" si="326"/>
        <v>42.777000000000001</v>
      </c>
      <c r="K279" s="91">
        <f t="shared" si="327"/>
        <v>0</v>
      </c>
      <c r="L279" s="92">
        <f t="shared" si="328"/>
        <v>0</v>
      </c>
      <c r="M279" s="93">
        <f t="shared" si="329"/>
        <v>0</v>
      </c>
      <c r="N279" s="94">
        <f t="shared" si="330"/>
        <v>0</v>
      </c>
      <c r="O279" s="94">
        <f t="shared" si="331"/>
        <v>0</v>
      </c>
      <c r="P279" s="92">
        <f t="shared" si="332"/>
        <v>0</v>
      </c>
      <c r="Q279" s="95">
        <f t="shared" si="333"/>
        <v>0</v>
      </c>
      <c r="R279" s="116"/>
    </row>
    <row r="280" spans="1:18" x14ac:dyDescent="0.3">
      <c r="A280" s="83" t="str">
        <f>IF(TRIM(H280)&lt;&gt;"",COUNTA(H$9:$H280)&amp;"","")</f>
        <v>189</v>
      </c>
      <c r="B280" s="84"/>
      <c r="C280" s="84"/>
      <c r="D280" s="85"/>
      <c r="E280" s="86" t="s">
        <v>547</v>
      </c>
      <c r="F280" s="87">
        <v>7.78</v>
      </c>
      <c r="H280" s="88" t="s">
        <v>175</v>
      </c>
      <c r="I280" s="89">
        <v>0.05</v>
      </c>
      <c r="J280" s="90">
        <f t="shared" si="326"/>
        <v>8.1690000000000005</v>
      </c>
      <c r="K280" s="91">
        <f t="shared" si="327"/>
        <v>0</v>
      </c>
      <c r="L280" s="92">
        <f t="shared" si="328"/>
        <v>0</v>
      </c>
      <c r="M280" s="93">
        <f t="shared" si="329"/>
        <v>0</v>
      </c>
      <c r="N280" s="94">
        <f t="shared" si="330"/>
        <v>0</v>
      </c>
      <c r="O280" s="94">
        <f t="shared" si="331"/>
        <v>0</v>
      </c>
      <c r="P280" s="92">
        <f t="shared" si="332"/>
        <v>0</v>
      </c>
      <c r="Q280" s="95">
        <f t="shared" si="333"/>
        <v>0</v>
      </c>
      <c r="R280" s="116"/>
    </row>
    <row r="281" spans="1:18" x14ac:dyDescent="0.3">
      <c r="A281" s="83" t="str">
        <f>IF(TRIM(H281)&lt;&gt;"",COUNTA(H$9:$H281)&amp;"","")</f>
        <v>190</v>
      </c>
      <c r="B281" s="84"/>
      <c r="C281" s="84"/>
      <c r="D281" s="85"/>
      <c r="E281" s="97" t="s">
        <v>547</v>
      </c>
      <c r="F281" s="87">
        <v>51.76</v>
      </c>
      <c r="H281" s="88" t="s">
        <v>175</v>
      </c>
      <c r="I281" s="89">
        <v>0.05</v>
      </c>
      <c r="J281" s="90">
        <f t="shared" si="326"/>
        <v>54.347999999999999</v>
      </c>
      <c r="K281" s="91">
        <f t="shared" si="327"/>
        <v>0</v>
      </c>
      <c r="L281" s="92">
        <f t="shared" si="328"/>
        <v>0</v>
      </c>
      <c r="M281" s="93">
        <f t="shared" si="329"/>
        <v>0</v>
      </c>
      <c r="N281" s="94">
        <f t="shared" si="330"/>
        <v>0</v>
      </c>
      <c r="O281" s="94">
        <f t="shared" si="331"/>
        <v>0</v>
      </c>
      <c r="P281" s="92">
        <f t="shared" si="332"/>
        <v>0</v>
      </c>
      <c r="Q281" s="95">
        <f t="shared" si="333"/>
        <v>0</v>
      </c>
      <c r="R281" s="116"/>
    </row>
    <row r="282" spans="1:18" x14ac:dyDescent="0.3">
      <c r="A282" s="83" t="str">
        <f>IF(TRIM(H282)&lt;&gt;"",COUNTA(H$9:$H282)&amp;"","")</f>
        <v>191</v>
      </c>
      <c r="B282" s="84"/>
      <c r="C282" s="84"/>
      <c r="D282" s="85"/>
      <c r="E282" s="97" t="s">
        <v>548</v>
      </c>
      <c r="F282" s="87">
        <v>18.36</v>
      </c>
      <c r="H282" s="88" t="s">
        <v>175</v>
      </c>
      <c r="I282" s="89">
        <v>0.05</v>
      </c>
      <c r="J282" s="90">
        <f t="shared" si="326"/>
        <v>19.277999999999999</v>
      </c>
      <c r="K282" s="91">
        <f t="shared" si="327"/>
        <v>0</v>
      </c>
      <c r="L282" s="92">
        <f t="shared" si="328"/>
        <v>0</v>
      </c>
      <c r="M282" s="93">
        <f t="shared" si="329"/>
        <v>0</v>
      </c>
      <c r="N282" s="94">
        <f t="shared" si="330"/>
        <v>0</v>
      </c>
      <c r="O282" s="94">
        <f t="shared" si="331"/>
        <v>0</v>
      </c>
      <c r="P282" s="92">
        <f t="shared" si="332"/>
        <v>0</v>
      </c>
      <c r="Q282" s="95">
        <f t="shared" si="333"/>
        <v>0</v>
      </c>
      <c r="R282" s="116"/>
    </row>
    <row r="283" spans="1:18" x14ac:dyDescent="0.3">
      <c r="A283" s="83" t="str">
        <f>IF(TRIM(H283)&lt;&gt;"",COUNTA(H$9:$H283)&amp;"","")</f>
        <v/>
      </c>
      <c r="B283" s="84"/>
      <c r="C283" s="84"/>
      <c r="D283" s="85"/>
      <c r="E283" s="150" t="s">
        <v>549</v>
      </c>
      <c r="F283" s="87"/>
      <c r="H283" s="88"/>
      <c r="I283" s="89" t="str">
        <f>IF(F283=0,"",0)</f>
        <v/>
      </c>
      <c r="J283" s="90" t="str">
        <f t="shared" si="326"/>
        <v/>
      </c>
      <c r="K283" s="91" t="str">
        <f t="shared" si="327"/>
        <v/>
      </c>
      <c r="L283" s="92" t="str">
        <f t="shared" si="328"/>
        <v/>
      </c>
      <c r="M283" s="93" t="str">
        <f t="shared" si="329"/>
        <v/>
      </c>
      <c r="N283" s="94" t="str">
        <f t="shared" si="330"/>
        <v/>
      </c>
      <c r="O283" s="94" t="str">
        <f t="shared" si="331"/>
        <v/>
      </c>
      <c r="P283" s="92" t="str">
        <f t="shared" si="332"/>
        <v/>
      </c>
      <c r="Q283" s="95" t="str">
        <f t="shared" si="333"/>
        <v/>
      </c>
      <c r="R283" s="116"/>
    </row>
    <row r="284" spans="1:18" x14ac:dyDescent="0.3">
      <c r="A284" s="83"/>
      <c r="B284" s="84"/>
      <c r="C284" s="84"/>
      <c r="D284" s="85"/>
      <c r="E284" s="151"/>
      <c r="F284" s="87"/>
      <c r="H284" s="88"/>
      <c r="I284" s="89"/>
      <c r="J284" s="90"/>
      <c r="K284" s="91"/>
      <c r="L284" s="92"/>
      <c r="M284" s="93"/>
      <c r="N284" s="94"/>
      <c r="O284" s="94"/>
      <c r="P284" s="92"/>
      <c r="Q284" s="95"/>
      <c r="R284" s="116"/>
    </row>
    <row r="285" spans="1:18" x14ac:dyDescent="0.3">
      <c r="A285" s="83" t="str">
        <f>IF(TRIM(H285)&lt;&gt;"",COUNTA(H$9:$H285)&amp;"","")</f>
        <v/>
      </c>
      <c r="B285" s="84"/>
      <c r="C285" s="84"/>
      <c r="D285" s="85"/>
      <c r="E285" s="121" t="s">
        <v>550</v>
      </c>
      <c r="F285" s="87"/>
      <c r="H285" s="88"/>
      <c r="I285" s="89" t="str">
        <f t="shared" ref="I285" si="334">IF(F285=0,"",0)</f>
        <v/>
      </c>
      <c r="J285" s="90" t="str">
        <f t="shared" ref="J285" si="335">IF(F285=0,"",F285+(F285*I285))</f>
        <v/>
      </c>
      <c r="K285" s="91" t="str">
        <f t="shared" ref="K285" si="336">IF(F285=0,"",0)</f>
        <v/>
      </c>
      <c r="L285" s="92" t="str">
        <f t="shared" ref="L285" si="337">IF(F285=0,"",K285*J285)</f>
        <v/>
      </c>
      <c r="M285" s="93" t="str">
        <f>IF(F285=0,"",M$7)</f>
        <v/>
      </c>
      <c r="N285" s="94" t="str">
        <f t="shared" ref="N285" si="338">IF(F285=0,"",0)</f>
        <v/>
      </c>
      <c r="O285" s="94" t="str">
        <f t="shared" ref="O285" si="339">IF(F285=0,"",N285*J285)</f>
        <v/>
      </c>
      <c r="P285" s="92" t="str">
        <f t="shared" ref="P285" si="340">IF(F285=0,"",O285*M285)</f>
        <v/>
      </c>
      <c r="Q285" s="95" t="str">
        <f t="shared" ref="Q285" si="341">IF(F285=0,"",L285+P285)</f>
        <v/>
      </c>
      <c r="R285" s="116"/>
    </row>
    <row r="286" spans="1:18" x14ac:dyDescent="0.3">
      <c r="A286" s="83" t="str">
        <f>IF(TRIM(H286)&lt;&gt;"",COUNTA(H$9:$H321)&amp;"","")</f>
        <v>215</v>
      </c>
      <c r="B286" s="84"/>
      <c r="C286" s="84"/>
      <c r="D286" s="85"/>
      <c r="E286" s="97" t="s">
        <v>551</v>
      </c>
      <c r="F286" s="87">
        <v>10</v>
      </c>
      <c r="H286" s="88" t="s">
        <v>232</v>
      </c>
      <c r="I286" s="89">
        <v>0</v>
      </c>
      <c r="J286" s="90">
        <f>IF(F286=0,"",F286+(F286*I286))</f>
        <v>10</v>
      </c>
      <c r="K286" s="91">
        <f>IF(F286=0,"",0)</f>
        <v>0</v>
      </c>
      <c r="L286" s="92">
        <f>IF(F286=0,"",K286*J286)</f>
        <v>0</v>
      </c>
      <c r="M286" s="93">
        <f>IF(F286=0,"",M$7)</f>
        <v>0</v>
      </c>
      <c r="N286" s="94">
        <f>IF(F286=0,"",0)</f>
        <v>0</v>
      </c>
      <c r="O286" s="94">
        <f>IF(F286=0,"",N286*J286)</f>
        <v>0</v>
      </c>
      <c r="P286" s="92">
        <f>IF(F286=0,"",O286*M286)</f>
        <v>0</v>
      </c>
      <c r="Q286" s="95">
        <f>IF(F286=0,"",L286+P286)</f>
        <v>0</v>
      </c>
      <c r="R286" s="116"/>
    </row>
    <row r="287" spans="1:18" x14ac:dyDescent="0.3">
      <c r="A287" s="83"/>
      <c r="B287" s="84"/>
      <c r="C287" s="84"/>
      <c r="D287" s="85"/>
      <c r="E287" s="97"/>
      <c r="F287" s="87"/>
      <c r="H287" s="88"/>
      <c r="I287" s="89"/>
      <c r="J287" s="90"/>
      <c r="K287" s="91"/>
      <c r="L287" s="92"/>
      <c r="M287" s="93"/>
      <c r="N287" s="94"/>
      <c r="O287" s="94"/>
      <c r="P287" s="92"/>
      <c r="Q287" s="95"/>
      <c r="R287" s="116"/>
    </row>
    <row r="288" spans="1:18" x14ac:dyDescent="0.3">
      <c r="A288" s="83" t="str">
        <f>IF(TRIM(H288)&lt;&gt;"",COUNTA(H$9:$H288)&amp;"","")</f>
        <v/>
      </c>
      <c r="B288" s="84"/>
      <c r="C288" s="84"/>
      <c r="D288" s="85"/>
      <c r="E288" s="121" t="s">
        <v>552</v>
      </c>
      <c r="F288" s="87"/>
      <c r="H288" s="88"/>
      <c r="I288" s="89" t="str">
        <f t="shared" si="325"/>
        <v/>
      </c>
      <c r="J288" s="90" t="str">
        <f t="shared" si="326"/>
        <v/>
      </c>
      <c r="K288" s="91" t="str">
        <f t="shared" si="327"/>
        <v/>
      </c>
      <c r="L288" s="92" t="str">
        <f t="shared" si="328"/>
        <v/>
      </c>
      <c r="M288" s="93" t="str">
        <f t="shared" si="329"/>
        <v/>
      </c>
      <c r="N288" s="94" t="str">
        <f t="shared" si="330"/>
        <v/>
      </c>
      <c r="O288" s="94" t="str">
        <f t="shared" si="331"/>
        <v/>
      </c>
      <c r="P288" s="92" t="str">
        <f t="shared" si="332"/>
        <v/>
      </c>
      <c r="Q288" s="95" t="str">
        <f t="shared" si="333"/>
        <v/>
      </c>
      <c r="R288" s="116"/>
    </row>
    <row r="289" spans="1:18" x14ac:dyDescent="0.3">
      <c r="A289" s="83" t="str">
        <f>IF(TRIM(H289)&lt;&gt;"",COUNTA(H$9:$H292)&amp;"","")</f>
        <v>196</v>
      </c>
      <c r="B289" s="84"/>
      <c r="C289" s="84"/>
      <c r="D289" s="85"/>
      <c r="E289" s="97" t="s">
        <v>553</v>
      </c>
      <c r="F289" s="87">
        <v>25.39</v>
      </c>
      <c r="H289" s="88" t="s">
        <v>175</v>
      </c>
      <c r="I289" s="89">
        <v>0.05</v>
      </c>
      <c r="J289" s="90">
        <f>IF(F289=0,"",F289+(F289*I289))</f>
        <v>26.659500000000001</v>
      </c>
      <c r="K289" s="91">
        <f>IF(F289=0,"",0)</f>
        <v>0</v>
      </c>
      <c r="L289" s="92">
        <f>IF(F289=0,"",K289*J289)</f>
        <v>0</v>
      </c>
      <c r="M289" s="93">
        <f>IF(F289=0,"",M$7)</f>
        <v>0</v>
      </c>
      <c r="N289" s="94">
        <f>IF(F289=0,"",0)</f>
        <v>0</v>
      </c>
      <c r="O289" s="94">
        <f>IF(F289=0,"",N289*J289)</f>
        <v>0</v>
      </c>
      <c r="P289" s="92">
        <f>IF(F289=0,"",O289*M289)</f>
        <v>0</v>
      </c>
      <c r="Q289" s="95">
        <f>IF(F289=0,"",L289+P289)</f>
        <v>0</v>
      </c>
      <c r="R289" s="116"/>
    </row>
    <row r="290" spans="1:18" x14ac:dyDescent="0.3">
      <c r="A290" s="83" t="str">
        <f>IF(TRIM(H290)&lt;&gt;"",COUNTA(H$9:$H290)&amp;"","")</f>
        <v>194</v>
      </c>
      <c r="B290" s="84"/>
      <c r="C290" s="84"/>
      <c r="D290" s="85"/>
      <c r="E290" s="86" t="s">
        <v>554</v>
      </c>
      <c r="F290" s="87">
        <v>23.27</v>
      </c>
      <c r="H290" s="88" t="s">
        <v>175</v>
      </c>
      <c r="I290" s="89">
        <v>0.05</v>
      </c>
      <c r="J290" s="90">
        <f t="shared" si="326"/>
        <v>24.433499999999999</v>
      </c>
      <c r="K290" s="91">
        <f t="shared" si="327"/>
        <v>0</v>
      </c>
      <c r="L290" s="92">
        <f t="shared" si="328"/>
        <v>0</v>
      </c>
      <c r="M290" s="93">
        <f t="shared" si="329"/>
        <v>0</v>
      </c>
      <c r="N290" s="94">
        <f t="shared" si="330"/>
        <v>0</v>
      </c>
      <c r="O290" s="94">
        <f t="shared" si="331"/>
        <v>0</v>
      </c>
      <c r="P290" s="92">
        <f t="shared" si="332"/>
        <v>0</v>
      </c>
      <c r="Q290" s="95">
        <f t="shared" si="333"/>
        <v>0</v>
      </c>
      <c r="R290" s="116"/>
    </row>
    <row r="291" spans="1:18" x14ac:dyDescent="0.3">
      <c r="A291" s="83" t="str">
        <f>IF(TRIM(H291)&lt;&gt;"",COUNTA(H$9:$H291)&amp;"","")</f>
        <v>195</v>
      </c>
      <c r="B291" s="84"/>
      <c r="C291" s="84"/>
      <c r="D291" s="85"/>
      <c r="E291" s="86" t="s">
        <v>555</v>
      </c>
      <c r="F291" s="87">
        <v>4.5199999999999996</v>
      </c>
      <c r="H291" s="88" t="s">
        <v>175</v>
      </c>
      <c r="I291" s="89">
        <v>0.05</v>
      </c>
      <c r="J291" s="90">
        <f t="shared" si="326"/>
        <v>4.7459999999999996</v>
      </c>
      <c r="K291" s="91">
        <f t="shared" si="327"/>
        <v>0</v>
      </c>
      <c r="L291" s="92">
        <f t="shared" si="328"/>
        <v>0</v>
      </c>
      <c r="M291" s="93">
        <f t="shared" si="329"/>
        <v>0</v>
      </c>
      <c r="N291" s="94">
        <f t="shared" si="330"/>
        <v>0</v>
      </c>
      <c r="O291" s="94">
        <f t="shared" si="331"/>
        <v>0</v>
      </c>
      <c r="P291" s="92">
        <f t="shared" si="332"/>
        <v>0</v>
      </c>
      <c r="Q291" s="95">
        <f t="shared" si="333"/>
        <v>0</v>
      </c>
      <c r="R291" s="116"/>
    </row>
    <row r="292" spans="1:18" x14ac:dyDescent="0.3">
      <c r="A292" s="83" t="str">
        <f>IF(TRIM(H292)&lt;&gt;"",COUNTA(H$9:$H292)&amp;"","")</f>
        <v>196</v>
      </c>
      <c r="B292" s="84"/>
      <c r="C292" s="84"/>
      <c r="D292" s="85"/>
      <c r="E292" s="97" t="s">
        <v>556</v>
      </c>
      <c r="F292" s="87">
        <v>8.1</v>
      </c>
      <c r="H292" s="88" t="s">
        <v>175</v>
      </c>
      <c r="I292" s="89">
        <v>0.05</v>
      </c>
      <c r="J292" s="90">
        <f t="shared" si="326"/>
        <v>8.504999999999999</v>
      </c>
      <c r="K292" s="91">
        <f t="shared" si="327"/>
        <v>0</v>
      </c>
      <c r="L292" s="92">
        <f t="shared" si="328"/>
        <v>0</v>
      </c>
      <c r="M292" s="93">
        <f t="shared" si="329"/>
        <v>0</v>
      </c>
      <c r="N292" s="94">
        <f t="shared" si="330"/>
        <v>0</v>
      </c>
      <c r="O292" s="94">
        <f t="shared" si="331"/>
        <v>0</v>
      </c>
      <c r="P292" s="92">
        <f t="shared" si="332"/>
        <v>0</v>
      </c>
      <c r="Q292" s="95">
        <f t="shared" si="333"/>
        <v>0</v>
      </c>
      <c r="R292" s="116"/>
    </row>
    <row r="293" spans="1:18" x14ac:dyDescent="0.3">
      <c r="A293" s="83" t="str">
        <f>IF(TRIM(H293)&lt;&gt;"",COUNTA(H$9:$H293)&amp;"","")</f>
        <v>197</v>
      </c>
      <c r="B293" s="84"/>
      <c r="C293" s="84"/>
      <c r="D293" s="85"/>
      <c r="E293" s="97" t="s">
        <v>557</v>
      </c>
      <c r="F293" s="87">
        <v>82.02</v>
      </c>
      <c r="H293" s="88" t="s">
        <v>175</v>
      </c>
      <c r="I293" s="89">
        <v>0.05</v>
      </c>
      <c r="J293" s="90">
        <f t="shared" si="326"/>
        <v>86.120999999999995</v>
      </c>
      <c r="K293" s="91">
        <f t="shared" si="327"/>
        <v>0</v>
      </c>
      <c r="L293" s="92">
        <f t="shared" si="328"/>
        <v>0</v>
      </c>
      <c r="M293" s="93">
        <f t="shared" si="329"/>
        <v>0</v>
      </c>
      <c r="N293" s="94">
        <f t="shared" si="330"/>
        <v>0</v>
      </c>
      <c r="O293" s="94">
        <f t="shared" si="331"/>
        <v>0</v>
      </c>
      <c r="P293" s="92">
        <f t="shared" si="332"/>
        <v>0</v>
      </c>
      <c r="Q293" s="95">
        <f t="shared" si="333"/>
        <v>0</v>
      </c>
      <c r="R293" s="116"/>
    </row>
    <row r="294" spans="1:18" x14ac:dyDescent="0.3">
      <c r="A294" s="83" t="str">
        <f>IF(TRIM(H294)&lt;&gt;"",COUNTA(H$9:$H294)&amp;"","")</f>
        <v>198</v>
      </c>
      <c r="B294" s="84"/>
      <c r="C294" s="84"/>
      <c r="D294" s="85"/>
      <c r="E294" s="97" t="s">
        <v>558</v>
      </c>
      <c r="F294" s="87">
        <v>252.46</v>
      </c>
      <c r="H294" s="88" t="s">
        <v>175</v>
      </c>
      <c r="I294" s="89">
        <v>0.05</v>
      </c>
      <c r="J294" s="90">
        <f t="shared" si="326"/>
        <v>265.08300000000003</v>
      </c>
      <c r="K294" s="91">
        <f t="shared" si="327"/>
        <v>0</v>
      </c>
      <c r="L294" s="92">
        <f t="shared" si="328"/>
        <v>0</v>
      </c>
      <c r="M294" s="93">
        <f t="shared" si="329"/>
        <v>0</v>
      </c>
      <c r="N294" s="94">
        <f t="shared" si="330"/>
        <v>0</v>
      </c>
      <c r="O294" s="94">
        <f t="shared" si="331"/>
        <v>0</v>
      </c>
      <c r="P294" s="92">
        <f t="shared" si="332"/>
        <v>0</v>
      </c>
      <c r="Q294" s="95">
        <f t="shared" si="333"/>
        <v>0</v>
      </c>
      <c r="R294" s="116"/>
    </row>
    <row r="295" spans="1:18" x14ac:dyDescent="0.3">
      <c r="A295" s="83" t="str">
        <f>IF(TRIM(H295)&lt;&gt;"",COUNTA(H$9:$H295)&amp;"","")</f>
        <v/>
      </c>
      <c r="B295" s="84"/>
      <c r="C295" s="84"/>
      <c r="D295" s="85"/>
      <c r="E295" s="150" t="s">
        <v>549</v>
      </c>
      <c r="F295" s="87"/>
      <c r="H295" s="88"/>
      <c r="I295" s="89" t="str">
        <f t="shared" ref="I295" si="342">IF(F295=0,"",0)</f>
        <v/>
      </c>
      <c r="J295" s="90" t="str">
        <f t="shared" si="326"/>
        <v/>
      </c>
      <c r="K295" s="91" t="str">
        <f t="shared" si="327"/>
        <v/>
      </c>
      <c r="L295" s="92" t="str">
        <f t="shared" si="328"/>
        <v/>
      </c>
      <c r="M295" s="93" t="str">
        <f t="shared" si="329"/>
        <v/>
      </c>
      <c r="N295" s="94" t="str">
        <f t="shared" si="330"/>
        <v/>
      </c>
      <c r="O295" s="94" t="str">
        <f t="shared" si="331"/>
        <v/>
      </c>
      <c r="P295" s="92" t="str">
        <f t="shared" si="332"/>
        <v/>
      </c>
      <c r="Q295" s="95" t="str">
        <f t="shared" si="333"/>
        <v/>
      </c>
      <c r="R295" s="116"/>
    </row>
    <row r="296" spans="1:18" x14ac:dyDescent="0.3">
      <c r="A296" s="83" t="str">
        <f>IF(TRIM(H296)&lt;&gt;"",COUNTA(H$9:$H296)&amp;"","")</f>
        <v/>
      </c>
      <c r="B296" s="84"/>
      <c r="C296" s="84"/>
      <c r="D296" s="85"/>
      <c r="E296" s="97"/>
      <c r="F296" s="87"/>
      <c r="H296" s="88"/>
      <c r="I296" s="89" t="str">
        <f t="shared" si="325"/>
        <v/>
      </c>
      <c r="J296" s="90" t="str">
        <f t="shared" si="326"/>
        <v/>
      </c>
      <c r="K296" s="91" t="str">
        <f t="shared" si="327"/>
        <v/>
      </c>
      <c r="L296" s="92" t="str">
        <f t="shared" si="328"/>
        <v/>
      </c>
      <c r="M296" s="93" t="str">
        <f t="shared" si="329"/>
        <v/>
      </c>
      <c r="N296" s="94" t="str">
        <f t="shared" si="330"/>
        <v/>
      </c>
      <c r="O296" s="94" t="str">
        <f t="shared" si="331"/>
        <v/>
      </c>
      <c r="P296" s="92" t="str">
        <f t="shared" si="332"/>
        <v/>
      </c>
      <c r="Q296" s="95" t="str">
        <f t="shared" si="333"/>
        <v/>
      </c>
      <c r="R296" s="116"/>
    </row>
    <row r="297" spans="1:18" x14ac:dyDescent="0.3">
      <c r="A297" s="83" t="str">
        <f>IF(TRIM(H297)&lt;&gt;"",COUNTA(H$9:$H297)&amp;"","")</f>
        <v/>
      </c>
      <c r="B297" s="84"/>
      <c r="C297" s="84"/>
      <c r="D297" s="85"/>
      <c r="E297" s="121" t="s">
        <v>550</v>
      </c>
      <c r="F297" s="87"/>
      <c r="H297" s="88"/>
      <c r="I297" s="89" t="str">
        <f t="shared" si="325"/>
        <v/>
      </c>
      <c r="J297" s="90" t="str">
        <f t="shared" si="326"/>
        <v/>
      </c>
      <c r="K297" s="91" t="str">
        <f t="shared" si="327"/>
        <v/>
      </c>
      <c r="L297" s="92" t="str">
        <f t="shared" si="328"/>
        <v/>
      </c>
      <c r="M297" s="93" t="str">
        <f t="shared" si="329"/>
        <v/>
      </c>
      <c r="N297" s="94" t="str">
        <f t="shared" si="330"/>
        <v/>
      </c>
      <c r="O297" s="94" t="str">
        <f t="shared" si="331"/>
        <v/>
      </c>
      <c r="P297" s="92" t="str">
        <f t="shared" si="332"/>
        <v/>
      </c>
      <c r="Q297" s="95" t="str">
        <f t="shared" si="333"/>
        <v/>
      </c>
      <c r="R297" s="116"/>
    </row>
    <row r="298" spans="1:18" x14ac:dyDescent="0.3">
      <c r="A298" s="83" t="str">
        <f>IF(TRIM(H298)&lt;&gt;"",COUNTA(H$9:$H301)&amp;"","")</f>
        <v>202</v>
      </c>
      <c r="B298" s="84"/>
      <c r="C298" s="84"/>
      <c r="D298" s="85"/>
      <c r="E298" s="97" t="s">
        <v>559</v>
      </c>
      <c r="F298" s="87">
        <v>10</v>
      </c>
      <c r="H298" s="88" t="s">
        <v>232</v>
      </c>
      <c r="I298" s="89">
        <v>0</v>
      </c>
      <c r="J298" s="90">
        <f>IF(F298=0,"",F298+(F298*I298))</f>
        <v>10</v>
      </c>
      <c r="K298" s="91">
        <f>IF(F298=0,"",0)</f>
        <v>0</v>
      </c>
      <c r="L298" s="92">
        <f>IF(F298=0,"",K298*J298)</f>
        <v>0</v>
      </c>
      <c r="M298" s="93">
        <f>IF(F298=0,"",M$7)</f>
        <v>0</v>
      </c>
      <c r="N298" s="94">
        <f>IF(F298=0,"",0)</f>
        <v>0</v>
      </c>
      <c r="O298" s="94">
        <f>IF(F298=0,"",N298*J298)</f>
        <v>0</v>
      </c>
      <c r="P298" s="92">
        <f>IF(F298=0,"",O298*M298)</f>
        <v>0</v>
      </c>
      <c r="Q298" s="95">
        <f>IF(F298=0,"",L298+P298)</f>
        <v>0</v>
      </c>
      <c r="R298" s="116"/>
    </row>
    <row r="299" spans="1:18" x14ac:dyDescent="0.3">
      <c r="A299" s="83" t="str">
        <f>IF(TRIM(H299)&lt;&gt;"",COUNTA(H$9:$H306)&amp;"","")</f>
        <v>207</v>
      </c>
      <c r="B299" s="84"/>
      <c r="C299" s="84"/>
      <c r="D299" s="85"/>
      <c r="E299" s="97" t="s">
        <v>559</v>
      </c>
      <c r="F299" s="87">
        <v>2</v>
      </c>
      <c r="H299" s="88" t="s">
        <v>232</v>
      </c>
      <c r="I299" s="89">
        <v>0</v>
      </c>
      <c r="J299" s="90">
        <f t="shared" ref="J299:J309" si="343">IF(F299=0,"",F299+(F299*I299))</f>
        <v>2</v>
      </c>
      <c r="K299" s="91">
        <f t="shared" ref="K299:K309" si="344">IF(F299=0,"",0)</f>
        <v>0</v>
      </c>
      <c r="L299" s="92">
        <f t="shared" ref="L299:L309" si="345">IF(F299=0,"",K299*J299)</f>
        <v>0</v>
      </c>
      <c r="M299" s="93">
        <f t="shared" ref="M299:M309" si="346">IF(F299=0,"",M$7)</f>
        <v>0</v>
      </c>
      <c r="N299" s="94">
        <f t="shared" ref="N299:N309" si="347">IF(F299=0,"",0)</f>
        <v>0</v>
      </c>
      <c r="O299" s="94">
        <f t="shared" ref="O299:O309" si="348">IF(F299=0,"",N299*J299)</f>
        <v>0</v>
      </c>
      <c r="P299" s="92">
        <f t="shared" ref="P299:P309" si="349">IF(F299=0,"",O299*M299)</f>
        <v>0</v>
      </c>
      <c r="Q299" s="95">
        <f t="shared" ref="Q299:Q309" si="350">IF(F299=0,"",L299+P299)</f>
        <v>0</v>
      </c>
      <c r="R299" s="116"/>
    </row>
    <row r="300" spans="1:18" x14ac:dyDescent="0.3">
      <c r="A300" s="83" t="str">
        <f>IF(TRIM(H300)&lt;&gt;"",COUNTA(H$9:$H307)&amp;"","")</f>
        <v>208</v>
      </c>
      <c r="B300" s="84"/>
      <c r="C300" s="84"/>
      <c r="D300" s="85"/>
      <c r="E300" s="97" t="s">
        <v>560</v>
      </c>
      <c r="F300" s="87">
        <v>3</v>
      </c>
      <c r="H300" s="88" t="s">
        <v>232</v>
      </c>
      <c r="I300" s="89">
        <v>0</v>
      </c>
      <c r="J300" s="90">
        <f t="shared" si="343"/>
        <v>3</v>
      </c>
      <c r="K300" s="91">
        <f t="shared" si="344"/>
        <v>0</v>
      </c>
      <c r="L300" s="92">
        <f t="shared" si="345"/>
        <v>0</v>
      </c>
      <c r="M300" s="93">
        <f t="shared" si="346"/>
        <v>0</v>
      </c>
      <c r="N300" s="94">
        <f t="shared" si="347"/>
        <v>0</v>
      </c>
      <c r="O300" s="94">
        <f t="shared" si="348"/>
        <v>0</v>
      </c>
      <c r="P300" s="92">
        <f t="shared" si="349"/>
        <v>0</v>
      </c>
      <c r="Q300" s="95">
        <f t="shared" si="350"/>
        <v>0</v>
      </c>
      <c r="R300" s="116"/>
    </row>
    <row r="301" spans="1:18" x14ac:dyDescent="0.3">
      <c r="A301" s="83" t="str">
        <f>IF(TRIM(H301)&lt;&gt;"",COUNTA(H$9:$H308)&amp;"","")</f>
        <v>209</v>
      </c>
      <c r="B301" s="84"/>
      <c r="C301" s="84"/>
      <c r="D301" s="85"/>
      <c r="E301" s="97" t="s">
        <v>561</v>
      </c>
      <c r="F301" s="87">
        <v>1</v>
      </c>
      <c r="H301" s="88" t="s">
        <v>232</v>
      </c>
      <c r="I301" s="89">
        <v>0</v>
      </c>
      <c r="J301" s="90">
        <f t="shared" si="343"/>
        <v>1</v>
      </c>
      <c r="K301" s="91">
        <f t="shared" si="344"/>
        <v>0</v>
      </c>
      <c r="L301" s="92">
        <f t="shared" si="345"/>
        <v>0</v>
      </c>
      <c r="M301" s="93">
        <f t="shared" si="346"/>
        <v>0</v>
      </c>
      <c r="N301" s="94">
        <f t="shared" si="347"/>
        <v>0</v>
      </c>
      <c r="O301" s="94">
        <f t="shared" si="348"/>
        <v>0</v>
      </c>
      <c r="P301" s="92">
        <f t="shared" si="349"/>
        <v>0</v>
      </c>
      <c r="Q301" s="95">
        <f t="shared" si="350"/>
        <v>0</v>
      </c>
      <c r="R301" s="116"/>
    </row>
    <row r="302" spans="1:18" x14ac:dyDescent="0.3">
      <c r="A302" s="83" t="str">
        <f>IF(TRIM(H302)&lt;&gt;"",COUNTA(H$9:$H309)&amp;"","")</f>
        <v>210</v>
      </c>
      <c r="B302" s="84"/>
      <c r="C302" s="84"/>
      <c r="D302" s="85"/>
      <c r="E302" s="97" t="s">
        <v>562</v>
      </c>
      <c r="F302" s="87">
        <v>10</v>
      </c>
      <c r="H302" s="88" t="s">
        <v>232</v>
      </c>
      <c r="I302" s="89">
        <v>0</v>
      </c>
      <c r="J302" s="90">
        <f t="shared" si="343"/>
        <v>10</v>
      </c>
      <c r="K302" s="91">
        <f t="shared" si="344"/>
        <v>0</v>
      </c>
      <c r="L302" s="92">
        <f t="shared" si="345"/>
        <v>0</v>
      </c>
      <c r="M302" s="93">
        <f t="shared" si="346"/>
        <v>0</v>
      </c>
      <c r="N302" s="94">
        <f t="shared" si="347"/>
        <v>0</v>
      </c>
      <c r="O302" s="94">
        <f t="shared" si="348"/>
        <v>0</v>
      </c>
      <c r="P302" s="92">
        <f t="shared" si="349"/>
        <v>0</v>
      </c>
      <c r="Q302" s="95">
        <f t="shared" si="350"/>
        <v>0</v>
      </c>
      <c r="R302" s="116"/>
    </row>
    <row r="303" spans="1:18" x14ac:dyDescent="0.3">
      <c r="A303" s="83" t="str">
        <f>IF(TRIM(H303)&lt;&gt;"",COUNTA(H$9:$H310)&amp;"","")</f>
        <v>210</v>
      </c>
      <c r="B303" s="84"/>
      <c r="C303" s="84"/>
      <c r="D303" s="85"/>
      <c r="E303" s="97" t="s">
        <v>563</v>
      </c>
      <c r="F303" s="87">
        <v>7</v>
      </c>
      <c r="H303" s="88" t="s">
        <v>232</v>
      </c>
      <c r="I303" s="89">
        <v>0</v>
      </c>
      <c r="J303" s="90">
        <f t="shared" si="343"/>
        <v>7</v>
      </c>
      <c r="K303" s="91">
        <f t="shared" si="344"/>
        <v>0</v>
      </c>
      <c r="L303" s="92">
        <f t="shared" si="345"/>
        <v>0</v>
      </c>
      <c r="M303" s="93">
        <f t="shared" si="346"/>
        <v>0</v>
      </c>
      <c r="N303" s="94">
        <f t="shared" si="347"/>
        <v>0</v>
      </c>
      <c r="O303" s="94">
        <f t="shared" si="348"/>
        <v>0</v>
      </c>
      <c r="P303" s="92">
        <f t="shared" si="349"/>
        <v>0</v>
      </c>
      <c r="Q303" s="95">
        <f t="shared" si="350"/>
        <v>0</v>
      </c>
      <c r="R303" s="116"/>
    </row>
    <row r="304" spans="1:18" x14ac:dyDescent="0.3">
      <c r="A304" s="83" t="str">
        <f>IF(TRIM(H304)&lt;&gt;"",COUNTA(H$9:$H276)&amp;"","")</f>
        <v>185</v>
      </c>
      <c r="B304" s="84"/>
      <c r="C304" s="84"/>
      <c r="D304" s="85"/>
      <c r="E304" s="97" t="s">
        <v>564</v>
      </c>
      <c r="F304" s="87">
        <v>7</v>
      </c>
      <c r="H304" s="88" t="s">
        <v>232</v>
      </c>
      <c r="I304" s="89">
        <v>0</v>
      </c>
      <c r="J304" s="90">
        <f t="shared" si="343"/>
        <v>7</v>
      </c>
      <c r="K304" s="91">
        <f t="shared" si="344"/>
        <v>0</v>
      </c>
      <c r="L304" s="92">
        <f t="shared" si="345"/>
        <v>0</v>
      </c>
      <c r="M304" s="93">
        <f t="shared" si="346"/>
        <v>0</v>
      </c>
      <c r="N304" s="94">
        <f t="shared" si="347"/>
        <v>0</v>
      </c>
      <c r="O304" s="94">
        <f t="shared" si="348"/>
        <v>0</v>
      </c>
      <c r="P304" s="92">
        <f t="shared" si="349"/>
        <v>0</v>
      </c>
      <c r="Q304" s="95">
        <f t="shared" si="350"/>
        <v>0</v>
      </c>
      <c r="R304" s="116"/>
    </row>
    <row r="305" spans="1:18" x14ac:dyDescent="0.3">
      <c r="A305" s="83" t="str">
        <f>IF(TRIM(H305)&lt;&gt;"",COUNTA(H$9:$H277)&amp;"","")</f>
        <v>186</v>
      </c>
      <c r="B305" s="84"/>
      <c r="C305" s="84"/>
      <c r="D305" s="85"/>
      <c r="E305" s="97" t="s">
        <v>565</v>
      </c>
      <c r="F305" s="87">
        <v>3</v>
      </c>
      <c r="H305" s="88" t="s">
        <v>232</v>
      </c>
      <c r="I305" s="89">
        <v>0</v>
      </c>
      <c r="J305" s="90">
        <f t="shared" si="343"/>
        <v>3</v>
      </c>
      <c r="K305" s="91">
        <f t="shared" si="344"/>
        <v>0</v>
      </c>
      <c r="L305" s="92">
        <f t="shared" si="345"/>
        <v>0</v>
      </c>
      <c r="M305" s="93">
        <f t="shared" si="346"/>
        <v>0</v>
      </c>
      <c r="N305" s="94">
        <f t="shared" si="347"/>
        <v>0</v>
      </c>
      <c r="O305" s="94">
        <f t="shared" si="348"/>
        <v>0</v>
      </c>
      <c r="P305" s="92">
        <f t="shared" si="349"/>
        <v>0</v>
      </c>
      <c r="Q305" s="95">
        <f t="shared" si="350"/>
        <v>0</v>
      </c>
      <c r="R305" s="116"/>
    </row>
    <row r="306" spans="1:18" x14ac:dyDescent="0.3">
      <c r="A306" s="83" t="str">
        <f>IF(TRIM(H306)&lt;&gt;"",COUNTA(H$9:$H278)&amp;"","")</f>
        <v>187</v>
      </c>
      <c r="B306" s="84"/>
      <c r="C306" s="84"/>
      <c r="D306" s="85"/>
      <c r="E306" s="97" t="s">
        <v>566</v>
      </c>
      <c r="F306" s="87">
        <v>2</v>
      </c>
      <c r="H306" s="88" t="s">
        <v>232</v>
      </c>
      <c r="I306" s="89">
        <v>0</v>
      </c>
      <c r="J306" s="90">
        <f t="shared" si="343"/>
        <v>2</v>
      </c>
      <c r="K306" s="91">
        <f t="shared" si="344"/>
        <v>0</v>
      </c>
      <c r="L306" s="92">
        <f t="shared" si="345"/>
        <v>0</v>
      </c>
      <c r="M306" s="93">
        <f t="shared" si="346"/>
        <v>0</v>
      </c>
      <c r="N306" s="94">
        <f t="shared" si="347"/>
        <v>0</v>
      </c>
      <c r="O306" s="94">
        <f t="shared" si="348"/>
        <v>0</v>
      </c>
      <c r="P306" s="92">
        <f t="shared" si="349"/>
        <v>0</v>
      </c>
      <c r="Q306" s="95">
        <f t="shared" si="350"/>
        <v>0</v>
      </c>
      <c r="R306" s="116"/>
    </row>
    <row r="307" spans="1:18" x14ac:dyDescent="0.3">
      <c r="A307" s="83" t="str">
        <f>IF(TRIM(H307)&lt;&gt;"",COUNTA(H$9:$H279)&amp;"","")</f>
        <v>188</v>
      </c>
      <c r="B307" s="84"/>
      <c r="C307" s="84"/>
      <c r="D307" s="85"/>
      <c r="E307" s="97" t="s">
        <v>567</v>
      </c>
      <c r="F307" s="87">
        <v>7</v>
      </c>
      <c r="H307" s="88" t="s">
        <v>232</v>
      </c>
      <c r="I307" s="89">
        <v>0</v>
      </c>
      <c r="J307" s="90">
        <f t="shared" si="343"/>
        <v>7</v>
      </c>
      <c r="K307" s="91">
        <f t="shared" si="344"/>
        <v>0</v>
      </c>
      <c r="L307" s="92">
        <f t="shared" si="345"/>
        <v>0</v>
      </c>
      <c r="M307" s="93">
        <f t="shared" si="346"/>
        <v>0</v>
      </c>
      <c r="N307" s="94">
        <f t="shared" si="347"/>
        <v>0</v>
      </c>
      <c r="O307" s="94">
        <f t="shared" si="348"/>
        <v>0</v>
      </c>
      <c r="P307" s="92">
        <f t="shared" si="349"/>
        <v>0</v>
      </c>
      <c r="Q307" s="95">
        <f t="shared" si="350"/>
        <v>0</v>
      </c>
      <c r="R307" s="116"/>
    </row>
    <row r="308" spans="1:18" x14ac:dyDescent="0.3">
      <c r="A308" s="83" t="str">
        <f>IF(TRIM(H308)&lt;&gt;"",COUNTA(H$9:$H276)&amp;"","")</f>
        <v>185</v>
      </c>
      <c r="B308" s="84"/>
      <c r="C308" s="84"/>
      <c r="D308" s="85"/>
      <c r="E308" s="97" t="s">
        <v>568</v>
      </c>
      <c r="F308" s="87">
        <v>5</v>
      </c>
      <c r="H308" s="88" t="s">
        <v>232</v>
      </c>
      <c r="I308" s="89">
        <v>0</v>
      </c>
      <c r="J308" s="90">
        <f t="shared" si="343"/>
        <v>5</v>
      </c>
      <c r="K308" s="91">
        <f t="shared" si="344"/>
        <v>0</v>
      </c>
      <c r="L308" s="92">
        <f t="shared" si="345"/>
        <v>0</v>
      </c>
      <c r="M308" s="93">
        <f t="shared" si="346"/>
        <v>0</v>
      </c>
      <c r="N308" s="94">
        <f t="shared" si="347"/>
        <v>0</v>
      </c>
      <c r="O308" s="94">
        <f t="shared" si="348"/>
        <v>0</v>
      </c>
      <c r="P308" s="92">
        <f t="shared" si="349"/>
        <v>0</v>
      </c>
      <c r="Q308" s="95">
        <f t="shared" si="350"/>
        <v>0</v>
      </c>
      <c r="R308" s="116"/>
    </row>
    <row r="309" spans="1:18" x14ac:dyDescent="0.3">
      <c r="A309" s="83" t="str">
        <f>IF(TRIM(H309)&lt;&gt;"",COUNTA(H$9:$H277)&amp;"","")</f>
        <v>186</v>
      </c>
      <c r="B309" s="84"/>
      <c r="C309" s="84"/>
      <c r="D309" s="85"/>
      <c r="E309" s="97" t="s">
        <v>569</v>
      </c>
      <c r="F309" s="87">
        <v>1</v>
      </c>
      <c r="H309" s="88" t="s">
        <v>232</v>
      </c>
      <c r="I309" s="89">
        <v>0</v>
      </c>
      <c r="J309" s="90">
        <f t="shared" si="343"/>
        <v>1</v>
      </c>
      <c r="K309" s="91">
        <f t="shared" si="344"/>
        <v>0</v>
      </c>
      <c r="L309" s="92">
        <f t="shared" si="345"/>
        <v>0</v>
      </c>
      <c r="M309" s="93">
        <f t="shared" si="346"/>
        <v>0</v>
      </c>
      <c r="N309" s="94">
        <f t="shared" si="347"/>
        <v>0</v>
      </c>
      <c r="O309" s="94">
        <f t="shared" si="348"/>
        <v>0</v>
      </c>
      <c r="P309" s="92">
        <f t="shared" si="349"/>
        <v>0</v>
      </c>
      <c r="Q309" s="95">
        <f t="shared" si="350"/>
        <v>0</v>
      </c>
      <c r="R309" s="116"/>
    </row>
    <row r="310" spans="1:18" x14ac:dyDescent="0.3">
      <c r="A310" s="83"/>
      <c r="B310" s="84"/>
      <c r="C310" s="84"/>
      <c r="D310" s="85"/>
      <c r="E310" s="97"/>
      <c r="F310" s="87"/>
      <c r="H310" s="88"/>
      <c r="I310" s="89"/>
      <c r="J310" s="90"/>
      <c r="K310" s="91"/>
      <c r="L310" s="92"/>
      <c r="M310" s="93"/>
      <c r="N310" s="94"/>
      <c r="O310" s="94"/>
      <c r="P310" s="92"/>
      <c r="Q310" s="95"/>
      <c r="R310" s="116"/>
    </row>
    <row r="311" spans="1:18" x14ac:dyDescent="0.3">
      <c r="A311" s="83" t="str">
        <f>IF(TRIM(H311)&lt;&gt;"",COUNTA(H$9:$H311)&amp;"","")</f>
        <v/>
      </c>
      <c r="B311" s="84"/>
      <c r="C311" s="84"/>
      <c r="D311" s="85"/>
      <c r="E311" s="121" t="s">
        <v>570</v>
      </c>
      <c r="F311" s="87"/>
      <c r="H311" s="88"/>
      <c r="I311" s="89" t="str">
        <f t="shared" ref="I311" si="351">IF(F311=0,"",0)</f>
        <v/>
      </c>
      <c r="J311" s="90" t="str">
        <f t="shared" ref="J311" si="352">IF(F311=0,"",F311+(F311*I311))</f>
        <v/>
      </c>
      <c r="K311" s="91" t="str">
        <f t="shared" ref="K311" si="353">IF(F311=0,"",0)</f>
        <v/>
      </c>
      <c r="L311" s="92" t="str">
        <f t="shared" ref="L311" si="354">IF(F311=0,"",K311*J311)</f>
        <v/>
      </c>
      <c r="M311" s="93" t="str">
        <f t="shared" ref="M311" si="355">IF(F311=0,"",M$7)</f>
        <v/>
      </c>
      <c r="N311" s="94" t="str">
        <f t="shared" ref="N311" si="356">IF(F311=0,"",0)</f>
        <v/>
      </c>
      <c r="O311" s="94" t="str">
        <f t="shared" ref="O311" si="357">IF(F311=0,"",N311*J311)</f>
        <v/>
      </c>
      <c r="P311" s="92" t="str">
        <f t="shared" ref="P311" si="358">IF(F311=0,"",O311*M311)</f>
        <v/>
      </c>
      <c r="Q311" s="95" t="str">
        <f t="shared" ref="Q311" si="359">IF(F311=0,"",L311+P311)</f>
        <v/>
      </c>
      <c r="R311" s="116"/>
    </row>
    <row r="312" spans="1:18" x14ac:dyDescent="0.3">
      <c r="A312" s="83" t="str">
        <f>IF(TRIM(H312)&lt;&gt;"",COUNTA(H$9:$H313)&amp;"","")</f>
        <v>212</v>
      </c>
      <c r="B312" s="84"/>
      <c r="C312" s="84"/>
      <c r="D312" s="85"/>
      <c r="E312" s="97" t="s">
        <v>571</v>
      </c>
      <c r="F312" s="87">
        <v>18.329999999999998</v>
      </c>
      <c r="H312" s="88" t="s">
        <v>175</v>
      </c>
      <c r="I312" s="89">
        <v>0.05</v>
      </c>
      <c r="J312" s="90">
        <f>IF(F312=0,"",F312+(F312*I312))</f>
        <v>19.246499999999997</v>
      </c>
      <c r="K312" s="91">
        <f>IF(F312=0,"",0)</f>
        <v>0</v>
      </c>
      <c r="L312" s="92">
        <f>IF(F312=0,"",K312*J312)</f>
        <v>0</v>
      </c>
      <c r="M312" s="93">
        <f>IF(F312=0,"",M$7)</f>
        <v>0</v>
      </c>
      <c r="N312" s="94">
        <f>IF(F312=0,"",0)</f>
        <v>0</v>
      </c>
      <c r="O312" s="94">
        <f>IF(F312=0,"",N312*J312)</f>
        <v>0</v>
      </c>
      <c r="P312" s="92">
        <f>IF(F312=0,"",O312*M312)</f>
        <v>0</v>
      </c>
      <c r="Q312" s="95">
        <f>IF(F312=0,"",L312+P312)</f>
        <v>0</v>
      </c>
      <c r="R312" s="116"/>
    </row>
    <row r="313" spans="1:18" x14ac:dyDescent="0.3">
      <c r="A313" s="83" t="str">
        <f>IF(TRIM(H313)&lt;&gt;"",COUNTA(H$9:$H313)&amp;"","")</f>
        <v>212</v>
      </c>
      <c r="B313" s="84"/>
      <c r="C313" s="84"/>
      <c r="D313" s="85"/>
      <c r="E313" s="86" t="s">
        <v>572</v>
      </c>
      <c r="F313" s="87">
        <v>25.21</v>
      </c>
      <c r="H313" s="88" t="s">
        <v>175</v>
      </c>
      <c r="I313" s="89">
        <v>0.05</v>
      </c>
      <c r="J313" s="90">
        <f t="shared" ref="J313:J316" si="360">IF(F313=0,"",F313+(F313*I313))</f>
        <v>26.470500000000001</v>
      </c>
      <c r="K313" s="91">
        <f t="shared" ref="K313:K316" si="361">IF(F313=0,"",0)</f>
        <v>0</v>
      </c>
      <c r="L313" s="92">
        <f t="shared" ref="L313:L316" si="362">IF(F313=0,"",K313*J313)</f>
        <v>0</v>
      </c>
      <c r="M313" s="93">
        <f t="shared" ref="M313:M316" si="363">IF(F313=0,"",M$7)</f>
        <v>0</v>
      </c>
      <c r="N313" s="94">
        <f t="shared" ref="N313:N316" si="364">IF(F313=0,"",0)</f>
        <v>0</v>
      </c>
      <c r="O313" s="94">
        <f t="shared" ref="O313:O316" si="365">IF(F313=0,"",N313*J313)</f>
        <v>0</v>
      </c>
      <c r="P313" s="92">
        <f t="shared" ref="P313:P316" si="366">IF(F313=0,"",O313*M313)</f>
        <v>0</v>
      </c>
      <c r="Q313" s="95">
        <f t="shared" ref="Q313:Q316" si="367">IF(F313=0,"",L313+P313)</f>
        <v>0</v>
      </c>
      <c r="R313" s="116"/>
    </row>
    <row r="314" spans="1:18" x14ac:dyDescent="0.3">
      <c r="A314" s="83" t="str">
        <f>IF(TRIM(H314)&lt;&gt;"",COUNTA(H$9:$H314)&amp;"","")</f>
        <v/>
      </c>
      <c r="B314" s="84"/>
      <c r="C314" s="84"/>
      <c r="D314" s="85"/>
      <c r="E314" s="150" t="s">
        <v>549</v>
      </c>
      <c r="F314" s="87"/>
      <c r="H314" s="88"/>
      <c r="I314" s="89" t="str">
        <f t="shared" ref="I314:I316" si="368">IF(F314=0,"",0)</f>
        <v/>
      </c>
      <c r="J314" s="90" t="str">
        <f t="shared" si="360"/>
        <v/>
      </c>
      <c r="K314" s="91" t="str">
        <f t="shared" si="361"/>
        <v/>
      </c>
      <c r="L314" s="92" t="str">
        <f t="shared" si="362"/>
        <v/>
      </c>
      <c r="M314" s="93" t="str">
        <f t="shared" si="363"/>
        <v/>
      </c>
      <c r="N314" s="94" t="str">
        <f t="shared" si="364"/>
        <v/>
      </c>
      <c r="O314" s="94" t="str">
        <f t="shared" si="365"/>
        <v/>
      </c>
      <c r="P314" s="92" t="str">
        <f t="shared" si="366"/>
        <v/>
      </c>
      <c r="Q314" s="95" t="str">
        <f t="shared" si="367"/>
        <v/>
      </c>
      <c r="R314" s="116"/>
    </row>
    <row r="315" spans="1:18" x14ac:dyDescent="0.3">
      <c r="A315" s="83" t="str">
        <f>IF(TRIM(H315)&lt;&gt;"",COUNTA(H$9:$H315)&amp;"","")</f>
        <v/>
      </c>
      <c r="B315" s="84"/>
      <c r="C315" s="84"/>
      <c r="D315" s="85"/>
      <c r="E315" s="97"/>
      <c r="F315" s="87"/>
      <c r="H315" s="88"/>
      <c r="I315" s="89" t="str">
        <f t="shared" si="368"/>
        <v/>
      </c>
      <c r="J315" s="90" t="str">
        <f t="shared" si="360"/>
        <v/>
      </c>
      <c r="K315" s="91" t="str">
        <f t="shared" si="361"/>
        <v/>
      </c>
      <c r="L315" s="92" t="str">
        <f t="shared" si="362"/>
        <v/>
      </c>
      <c r="M315" s="93" t="str">
        <f t="shared" si="363"/>
        <v/>
      </c>
      <c r="N315" s="94" t="str">
        <f t="shared" si="364"/>
        <v/>
      </c>
      <c r="O315" s="94" t="str">
        <f t="shared" si="365"/>
        <v/>
      </c>
      <c r="P315" s="92" t="str">
        <f t="shared" si="366"/>
        <v/>
      </c>
      <c r="Q315" s="95" t="str">
        <f t="shared" si="367"/>
        <v/>
      </c>
      <c r="R315" s="116"/>
    </row>
    <row r="316" spans="1:18" x14ac:dyDescent="0.3">
      <c r="A316" s="83" t="str">
        <f>IF(TRIM(H316)&lt;&gt;"",COUNTA(H$9:$H316)&amp;"","")</f>
        <v/>
      </c>
      <c r="B316" s="84"/>
      <c r="C316" s="84"/>
      <c r="D316" s="85"/>
      <c r="E316" s="121" t="s">
        <v>550</v>
      </c>
      <c r="F316" s="87"/>
      <c r="H316" s="88"/>
      <c r="I316" s="89" t="str">
        <f t="shared" si="368"/>
        <v/>
      </c>
      <c r="J316" s="90" t="str">
        <f t="shared" si="360"/>
        <v/>
      </c>
      <c r="K316" s="91" t="str">
        <f t="shared" si="361"/>
        <v/>
      </c>
      <c r="L316" s="92" t="str">
        <f t="shared" si="362"/>
        <v/>
      </c>
      <c r="M316" s="93" t="str">
        <f t="shared" si="363"/>
        <v/>
      </c>
      <c r="N316" s="94" t="str">
        <f t="shared" si="364"/>
        <v/>
      </c>
      <c r="O316" s="94" t="str">
        <f t="shared" si="365"/>
        <v/>
      </c>
      <c r="P316" s="92" t="str">
        <f t="shared" si="366"/>
        <v/>
      </c>
      <c r="Q316" s="95" t="str">
        <f t="shared" si="367"/>
        <v/>
      </c>
      <c r="R316" s="116"/>
    </row>
    <row r="317" spans="1:18" x14ac:dyDescent="0.3">
      <c r="A317" s="83" t="str">
        <f>IF(TRIM(H317)&lt;&gt;"",COUNTA(H$9:$H320)&amp;"","")</f>
        <v>214</v>
      </c>
      <c r="B317" s="84"/>
      <c r="C317" s="84"/>
      <c r="D317" s="85"/>
      <c r="E317" s="97" t="s">
        <v>573</v>
      </c>
      <c r="F317" s="87">
        <v>1</v>
      </c>
      <c r="H317" s="88" t="s">
        <v>232</v>
      </c>
      <c r="I317" s="89">
        <v>0</v>
      </c>
      <c r="J317" s="90">
        <f>IF(F317=0,"",F317+(F317*I317))</f>
        <v>1</v>
      </c>
      <c r="K317" s="91">
        <f>IF(F317=0,"",0)</f>
        <v>0</v>
      </c>
      <c r="L317" s="92">
        <f>IF(F317=0,"",K317*J317)</f>
        <v>0</v>
      </c>
      <c r="M317" s="93">
        <f>IF(F317=0,"",M$7)</f>
        <v>0</v>
      </c>
      <c r="N317" s="94">
        <f>IF(F317=0,"",0)</f>
        <v>0</v>
      </c>
      <c r="O317" s="94">
        <f>IF(F317=0,"",N317*J317)</f>
        <v>0</v>
      </c>
      <c r="P317" s="92">
        <f>IF(F317=0,"",O317*M317)</f>
        <v>0</v>
      </c>
      <c r="Q317" s="95">
        <f>IF(F317=0,"",L317+P317)</f>
        <v>0</v>
      </c>
      <c r="R317" s="116"/>
    </row>
    <row r="318" spans="1:18" x14ac:dyDescent="0.3">
      <c r="A318" s="83" t="str">
        <f>IF(TRIM(H318)&lt;&gt;"",COUNTA(H$9:$H325)&amp;"","")</f>
        <v>218</v>
      </c>
      <c r="B318" s="84"/>
      <c r="C318" s="84"/>
      <c r="D318" s="85"/>
      <c r="E318" s="97" t="s">
        <v>574</v>
      </c>
      <c r="F318" s="87">
        <v>1</v>
      </c>
      <c r="H318" s="88" t="s">
        <v>232</v>
      </c>
      <c r="I318" s="89">
        <v>0</v>
      </c>
      <c r="J318" s="90">
        <f t="shared" ref="J318" si="369">IF(F318=0,"",F318+(F318*I318))</f>
        <v>1</v>
      </c>
      <c r="K318" s="91">
        <f t="shared" ref="K318" si="370">IF(F318=0,"",0)</f>
        <v>0</v>
      </c>
      <c r="L318" s="92">
        <f t="shared" ref="L318" si="371">IF(F318=0,"",K318*J318)</f>
        <v>0</v>
      </c>
      <c r="M318" s="93">
        <f t="shared" ref="M318" si="372">IF(F318=0,"",M$7)</f>
        <v>0</v>
      </c>
      <c r="N318" s="94">
        <f t="shared" ref="N318" si="373">IF(F318=0,"",0)</f>
        <v>0</v>
      </c>
      <c r="O318" s="94">
        <f t="shared" ref="O318" si="374">IF(F318=0,"",N318*J318)</f>
        <v>0</v>
      </c>
      <c r="P318" s="92">
        <f t="shared" ref="P318" si="375">IF(F318=0,"",O318*M318)</f>
        <v>0</v>
      </c>
      <c r="Q318" s="95">
        <f t="shared" ref="Q318" si="376">IF(F318=0,"",L318+P318)</f>
        <v>0</v>
      </c>
      <c r="R318" s="116"/>
    </row>
    <row r="319" spans="1:18" x14ac:dyDescent="0.3">
      <c r="A319" s="83"/>
      <c r="B319" s="84"/>
      <c r="C319" s="84"/>
      <c r="D319" s="85"/>
      <c r="E319" s="97"/>
      <c r="F319" s="87"/>
      <c r="H319" s="88"/>
      <c r="I319" s="89"/>
      <c r="J319" s="90"/>
      <c r="K319" s="91"/>
      <c r="L319" s="92"/>
      <c r="M319" s="93"/>
      <c r="N319" s="94"/>
      <c r="O319" s="94"/>
      <c r="P319" s="92"/>
      <c r="Q319" s="95"/>
      <c r="R319" s="116"/>
    </row>
    <row r="320" spans="1:18" ht="15.6" x14ac:dyDescent="0.3">
      <c r="A320" s="83" t="str">
        <f>IF(TRIM(H320)&lt;&gt;"",COUNTA(H$9:$H320)&amp;"","")</f>
        <v/>
      </c>
      <c r="B320" s="84"/>
      <c r="C320" s="84"/>
      <c r="D320" s="85"/>
      <c r="E320" s="157" t="s">
        <v>166</v>
      </c>
      <c r="F320" s="87"/>
      <c r="H320" s="88"/>
      <c r="I320" s="89" t="str">
        <f t="shared" ref="I320:I340" si="377">IF(F320=0,"",0)</f>
        <v/>
      </c>
      <c r="J320" s="90" t="str">
        <f t="shared" ref="J320:J340" si="378">IF(F320=0,"",F320+(F320*I320))</f>
        <v/>
      </c>
      <c r="K320" s="91" t="str">
        <f t="shared" ref="K320:K340" si="379">IF(F320=0,"",0)</f>
        <v/>
      </c>
      <c r="L320" s="92" t="str">
        <f t="shared" ref="L320:L340" si="380">IF(F320=0,"",K320*J320)</f>
        <v/>
      </c>
      <c r="M320" s="93" t="str">
        <f t="shared" ref="M320:M340" si="381">IF(F320=0,"",M$7)</f>
        <v/>
      </c>
      <c r="N320" s="94" t="str">
        <f t="shared" ref="N320:N340" si="382">IF(F320=0,"",0)</f>
        <v/>
      </c>
      <c r="O320" s="94" t="str">
        <f t="shared" ref="O320:O340" si="383">IF(F320=0,"",N320*J320)</f>
        <v/>
      </c>
      <c r="P320" s="92" t="str">
        <f t="shared" ref="P320:P340" si="384">IF(F320=0,"",O320*M320)</f>
        <v/>
      </c>
      <c r="Q320" s="95" t="str">
        <f t="shared" ref="Q320:Q340" si="385">IF(F320=0,"",L320+P320)</f>
        <v/>
      </c>
      <c r="R320" s="116"/>
    </row>
    <row r="321" spans="1:18" x14ac:dyDescent="0.3">
      <c r="A321" s="83" t="str">
        <f>IF(TRIM(H321)&lt;&gt;"",COUNTA(H$9:$H321)&amp;"","")</f>
        <v>215</v>
      </c>
      <c r="B321" s="84"/>
      <c r="C321" s="84"/>
      <c r="D321" s="85"/>
      <c r="E321" s="97" t="s">
        <v>575</v>
      </c>
      <c r="F321" s="87">
        <v>1</v>
      </c>
      <c r="H321" s="88" t="s">
        <v>232</v>
      </c>
      <c r="I321" s="89">
        <f t="shared" si="377"/>
        <v>0</v>
      </c>
      <c r="J321" s="90">
        <f t="shared" si="378"/>
        <v>1</v>
      </c>
      <c r="K321" s="91">
        <f t="shared" si="379"/>
        <v>0</v>
      </c>
      <c r="L321" s="92">
        <f t="shared" si="380"/>
        <v>0</v>
      </c>
      <c r="M321" s="93">
        <f t="shared" si="381"/>
        <v>0</v>
      </c>
      <c r="N321" s="94">
        <f t="shared" si="382"/>
        <v>0</v>
      </c>
      <c r="O321" s="94">
        <f t="shared" si="383"/>
        <v>0</v>
      </c>
      <c r="P321" s="92">
        <f t="shared" si="384"/>
        <v>0</v>
      </c>
      <c r="Q321" s="95">
        <f t="shared" si="385"/>
        <v>0</v>
      </c>
      <c r="R321" s="116"/>
    </row>
    <row r="322" spans="1:18" x14ac:dyDescent="0.3">
      <c r="A322" s="83" t="str">
        <f>IF(TRIM(H322)&lt;&gt;"",COUNTA(H$9:$H322)&amp;"","")</f>
        <v>216</v>
      </c>
      <c r="B322" s="84"/>
      <c r="C322" s="84"/>
      <c r="D322" s="85"/>
      <c r="E322" s="97" t="s">
        <v>576</v>
      </c>
      <c r="F322" s="87">
        <v>1</v>
      </c>
      <c r="H322" s="88" t="s">
        <v>232</v>
      </c>
      <c r="I322" s="89">
        <f t="shared" si="377"/>
        <v>0</v>
      </c>
      <c r="J322" s="90">
        <f t="shared" si="378"/>
        <v>1</v>
      </c>
      <c r="K322" s="91">
        <f t="shared" si="379"/>
        <v>0</v>
      </c>
      <c r="L322" s="92">
        <f t="shared" si="380"/>
        <v>0</v>
      </c>
      <c r="M322" s="93">
        <f t="shared" si="381"/>
        <v>0</v>
      </c>
      <c r="N322" s="94">
        <f t="shared" si="382"/>
        <v>0</v>
      </c>
      <c r="O322" s="94">
        <f t="shared" si="383"/>
        <v>0</v>
      </c>
      <c r="P322" s="92">
        <f t="shared" si="384"/>
        <v>0</v>
      </c>
      <c r="Q322" s="95">
        <f t="shared" si="385"/>
        <v>0</v>
      </c>
      <c r="R322" s="116"/>
    </row>
    <row r="323" spans="1:18" x14ac:dyDescent="0.3">
      <c r="A323" s="83" t="str">
        <f>IF(TRIM(H323)&lt;&gt;"",COUNTA(H$9:$H323)&amp;"","")</f>
        <v>217</v>
      </c>
      <c r="B323" s="84"/>
      <c r="C323" s="84"/>
      <c r="D323" s="85"/>
      <c r="E323" s="97" t="s">
        <v>577</v>
      </c>
      <c r="F323" s="87">
        <v>1</v>
      </c>
      <c r="H323" s="88" t="s">
        <v>232</v>
      </c>
      <c r="I323" s="89">
        <f t="shared" si="377"/>
        <v>0</v>
      </c>
      <c r="J323" s="90">
        <f t="shared" si="378"/>
        <v>1</v>
      </c>
      <c r="K323" s="91">
        <f t="shared" si="379"/>
        <v>0</v>
      </c>
      <c r="L323" s="92">
        <f t="shared" si="380"/>
        <v>0</v>
      </c>
      <c r="M323" s="93">
        <f t="shared" si="381"/>
        <v>0</v>
      </c>
      <c r="N323" s="94">
        <f t="shared" si="382"/>
        <v>0</v>
      </c>
      <c r="O323" s="94">
        <f t="shared" si="383"/>
        <v>0</v>
      </c>
      <c r="P323" s="92">
        <f t="shared" si="384"/>
        <v>0</v>
      </c>
      <c r="Q323" s="95">
        <f t="shared" si="385"/>
        <v>0</v>
      </c>
      <c r="R323" s="116"/>
    </row>
    <row r="324" spans="1:18" x14ac:dyDescent="0.3">
      <c r="A324" s="83" t="str">
        <f>IF(TRIM(H324)&lt;&gt;"",COUNTA(H$9:$H324)&amp;"","")</f>
        <v>218</v>
      </c>
      <c r="B324" s="84"/>
      <c r="C324" s="84"/>
      <c r="D324" s="85"/>
      <c r="E324" s="97" t="s">
        <v>578</v>
      </c>
      <c r="F324" s="87">
        <v>6</v>
      </c>
      <c r="H324" s="88" t="s">
        <v>232</v>
      </c>
      <c r="I324" s="89">
        <f t="shared" si="377"/>
        <v>0</v>
      </c>
      <c r="J324" s="90">
        <f t="shared" si="378"/>
        <v>6</v>
      </c>
      <c r="K324" s="91">
        <f t="shared" si="379"/>
        <v>0</v>
      </c>
      <c r="L324" s="92">
        <f t="shared" si="380"/>
        <v>0</v>
      </c>
      <c r="M324" s="93">
        <f t="shared" si="381"/>
        <v>0</v>
      </c>
      <c r="N324" s="94">
        <f t="shared" si="382"/>
        <v>0</v>
      </c>
      <c r="O324" s="94">
        <f t="shared" si="383"/>
        <v>0</v>
      </c>
      <c r="P324" s="92">
        <f t="shared" si="384"/>
        <v>0</v>
      </c>
      <c r="Q324" s="95">
        <f t="shared" si="385"/>
        <v>0</v>
      </c>
      <c r="R324" s="116"/>
    </row>
    <row r="325" spans="1:18" x14ac:dyDescent="0.3">
      <c r="A325" s="83" t="str">
        <f>IF(TRIM(H325)&lt;&gt;"",COUNTA(H$9:$H325)&amp;"","")</f>
        <v/>
      </c>
      <c r="B325" s="84"/>
      <c r="C325" s="84"/>
      <c r="D325" s="85"/>
      <c r="E325" s="97"/>
      <c r="F325" s="87"/>
      <c r="H325" s="88"/>
      <c r="I325" s="89" t="str">
        <f t="shared" si="377"/>
        <v/>
      </c>
      <c r="J325" s="90" t="str">
        <f t="shared" si="378"/>
        <v/>
      </c>
      <c r="K325" s="91" t="str">
        <f t="shared" si="379"/>
        <v/>
      </c>
      <c r="L325" s="92" t="str">
        <f t="shared" si="380"/>
        <v/>
      </c>
      <c r="M325" s="93" t="str">
        <f t="shared" si="381"/>
        <v/>
      </c>
      <c r="N325" s="94" t="str">
        <f t="shared" si="382"/>
        <v/>
      </c>
      <c r="O325" s="94" t="str">
        <f t="shared" si="383"/>
        <v/>
      </c>
      <c r="P325" s="92" t="str">
        <f t="shared" si="384"/>
        <v/>
      </c>
      <c r="Q325" s="95" t="str">
        <f t="shared" si="385"/>
        <v/>
      </c>
      <c r="R325" s="116"/>
    </row>
    <row r="326" spans="1:18" ht="15.6" x14ac:dyDescent="0.3">
      <c r="A326" s="83" t="str">
        <f>IF(TRIM(H326)&lt;&gt;"",COUNTA(H$9:$H326)&amp;"","")</f>
        <v/>
      </c>
      <c r="B326" s="84"/>
      <c r="C326" s="84"/>
      <c r="D326" s="85"/>
      <c r="E326" s="157" t="s">
        <v>161</v>
      </c>
      <c r="F326" s="87"/>
      <c r="H326" s="88"/>
      <c r="I326" s="89" t="str">
        <f t="shared" si="377"/>
        <v/>
      </c>
      <c r="J326" s="90" t="str">
        <f t="shared" si="378"/>
        <v/>
      </c>
      <c r="K326" s="91" t="str">
        <f t="shared" si="379"/>
        <v/>
      </c>
      <c r="L326" s="92" t="str">
        <f t="shared" si="380"/>
        <v/>
      </c>
      <c r="M326" s="93" t="str">
        <f t="shared" si="381"/>
        <v/>
      </c>
      <c r="N326" s="94" t="str">
        <f t="shared" si="382"/>
        <v/>
      </c>
      <c r="O326" s="94" t="str">
        <f t="shared" si="383"/>
        <v/>
      </c>
      <c r="P326" s="92" t="str">
        <f t="shared" si="384"/>
        <v/>
      </c>
      <c r="Q326" s="95" t="str">
        <f t="shared" si="385"/>
        <v/>
      </c>
      <c r="R326" s="116"/>
    </row>
    <row r="327" spans="1:18" ht="41.4" x14ac:dyDescent="0.3">
      <c r="A327" s="83" t="str">
        <f>IF(TRIM(H327)&lt;&gt;"",COUNTA(H$9:$H327)&amp;"","")</f>
        <v>219</v>
      </c>
      <c r="B327" s="84"/>
      <c r="C327" s="84"/>
      <c r="D327" s="85"/>
      <c r="E327" s="86" t="s">
        <v>579</v>
      </c>
      <c r="F327" s="87">
        <v>1</v>
      </c>
      <c r="H327" s="88" t="s">
        <v>232</v>
      </c>
      <c r="I327" s="89">
        <f t="shared" si="377"/>
        <v>0</v>
      </c>
      <c r="J327" s="90">
        <f t="shared" si="378"/>
        <v>1</v>
      </c>
      <c r="K327" s="91">
        <f t="shared" si="379"/>
        <v>0</v>
      </c>
      <c r="L327" s="92">
        <f t="shared" si="380"/>
        <v>0</v>
      </c>
      <c r="M327" s="93">
        <f t="shared" si="381"/>
        <v>0</v>
      </c>
      <c r="N327" s="94">
        <f t="shared" si="382"/>
        <v>0</v>
      </c>
      <c r="O327" s="94">
        <f t="shared" si="383"/>
        <v>0</v>
      </c>
      <c r="P327" s="92">
        <f t="shared" si="384"/>
        <v>0</v>
      </c>
      <c r="Q327" s="95">
        <f t="shared" si="385"/>
        <v>0</v>
      </c>
      <c r="R327" s="116"/>
    </row>
    <row r="328" spans="1:18" ht="55.2" x14ac:dyDescent="0.3">
      <c r="A328" s="83" t="str">
        <f>IF(TRIM(H328)&lt;&gt;"",COUNTA(H$9:$H328)&amp;"","")</f>
        <v>220</v>
      </c>
      <c r="B328" s="84"/>
      <c r="C328" s="84"/>
      <c r="D328" s="85"/>
      <c r="E328" s="86" t="s">
        <v>580</v>
      </c>
      <c r="F328" s="87">
        <v>1</v>
      </c>
      <c r="H328" s="88" t="s">
        <v>232</v>
      </c>
      <c r="I328" s="89">
        <f t="shared" si="377"/>
        <v>0</v>
      </c>
      <c r="J328" s="90">
        <f t="shared" si="378"/>
        <v>1</v>
      </c>
      <c r="K328" s="91">
        <f t="shared" si="379"/>
        <v>0</v>
      </c>
      <c r="L328" s="92">
        <f t="shared" si="380"/>
        <v>0</v>
      </c>
      <c r="M328" s="93">
        <f t="shared" si="381"/>
        <v>0</v>
      </c>
      <c r="N328" s="94">
        <f t="shared" si="382"/>
        <v>0</v>
      </c>
      <c r="O328" s="94">
        <f t="shared" si="383"/>
        <v>0</v>
      </c>
      <c r="P328" s="92">
        <f t="shared" si="384"/>
        <v>0</v>
      </c>
      <c r="Q328" s="95">
        <f t="shared" si="385"/>
        <v>0</v>
      </c>
      <c r="R328" s="116"/>
    </row>
    <row r="329" spans="1:18" ht="55.2" x14ac:dyDescent="0.3">
      <c r="A329" s="83" t="str">
        <f>IF(TRIM(H329)&lt;&gt;"",COUNTA(H$9:$H329)&amp;"","")</f>
        <v>221</v>
      </c>
      <c r="B329" s="84"/>
      <c r="C329" s="84"/>
      <c r="D329" s="85"/>
      <c r="E329" s="86" t="s">
        <v>581</v>
      </c>
      <c r="F329" s="87">
        <v>6</v>
      </c>
      <c r="H329" s="88" t="s">
        <v>232</v>
      </c>
      <c r="I329" s="89">
        <f t="shared" si="377"/>
        <v>0</v>
      </c>
      <c r="J329" s="90">
        <f t="shared" si="378"/>
        <v>6</v>
      </c>
      <c r="K329" s="91">
        <f t="shared" si="379"/>
        <v>0</v>
      </c>
      <c r="L329" s="92">
        <f t="shared" si="380"/>
        <v>0</v>
      </c>
      <c r="M329" s="93">
        <f t="shared" si="381"/>
        <v>0</v>
      </c>
      <c r="N329" s="94">
        <f t="shared" si="382"/>
        <v>0</v>
      </c>
      <c r="O329" s="94">
        <f t="shared" si="383"/>
        <v>0</v>
      </c>
      <c r="P329" s="92">
        <f t="shared" si="384"/>
        <v>0</v>
      </c>
      <c r="Q329" s="95">
        <f t="shared" si="385"/>
        <v>0</v>
      </c>
      <c r="R329" s="116"/>
    </row>
    <row r="330" spans="1:18" x14ac:dyDescent="0.3">
      <c r="A330" s="83"/>
      <c r="B330" s="84"/>
      <c r="C330" s="84"/>
      <c r="D330" s="85"/>
      <c r="F330" s="87"/>
      <c r="H330" s="88"/>
      <c r="I330" s="89"/>
      <c r="J330" s="90"/>
      <c r="K330" s="91"/>
      <c r="L330" s="92"/>
      <c r="M330" s="93"/>
      <c r="N330" s="94"/>
      <c r="O330" s="94"/>
      <c r="P330" s="92"/>
      <c r="Q330" s="95"/>
      <c r="R330" s="116"/>
    </row>
    <row r="331" spans="1:18" ht="15.6" x14ac:dyDescent="0.3">
      <c r="A331" s="83" t="str">
        <f>IF(TRIM(H331)&lt;&gt;"",COUNTA(H$9:$H331)&amp;"","")</f>
        <v/>
      </c>
      <c r="B331" s="84"/>
      <c r="C331" s="84"/>
      <c r="D331" s="85"/>
      <c r="E331" s="157" t="s">
        <v>582</v>
      </c>
      <c r="F331" s="87"/>
      <c r="H331" s="88"/>
      <c r="I331" s="89" t="str">
        <f t="shared" si="377"/>
        <v/>
      </c>
      <c r="J331" s="90" t="str">
        <f t="shared" si="378"/>
        <v/>
      </c>
      <c r="K331" s="91" t="str">
        <f t="shared" si="379"/>
        <v/>
      </c>
      <c r="L331" s="92" t="str">
        <f t="shared" si="380"/>
        <v/>
      </c>
      <c r="M331" s="93" t="str">
        <f t="shared" si="381"/>
        <v/>
      </c>
      <c r="N331" s="94" t="str">
        <f t="shared" si="382"/>
        <v/>
      </c>
      <c r="O331" s="94" t="str">
        <f t="shared" si="383"/>
        <v/>
      </c>
      <c r="P331" s="92" t="str">
        <f t="shared" si="384"/>
        <v/>
      </c>
      <c r="Q331" s="95" t="str">
        <f t="shared" si="385"/>
        <v/>
      </c>
      <c r="R331" s="116"/>
    </row>
    <row r="332" spans="1:18" x14ac:dyDescent="0.3">
      <c r="A332" s="83" t="str">
        <f>IF(TRIM(H332)&lt;&gt;"",COUNTA(H$9:$H332)&amp;"","")</f>
        <v>222</v>
      </c>
      <c r="B332" s="84"/>
      <c r="C332" s="84"/>
      <c r="D332" s="85"/>
      <c r="E332" s="97" t="s">
        <v>583</v>
      </c>
      <c r="F332" s="87">
        <v>1</v>
      </c>
      <c r="H332" s="88" t="s">
        <v>232</v>
      </c>
      <c r="I332" s="89">
        <f t="shared" si="377"/>
        <v>0</v>
      </c>
      <c r="J332" s="90">
        <f t="shared" si="378"/>
        <v>1</v>
      </c>
      <c r="K332" s="91">
        <f t="shared" si="379"/>
        <v>0</v>
      </c>
      <c r="L332" s="92">
        <f t="shared" si="380"/>
        <v>0</v>
      </c>
      <c r="M332" s="93">
        <f t="shared" si="381"/>
        <v>0</v>
      </c>
      <c r="N332" s="94">
        <f t="shared" si="382"/>
        <v>0</v>
      </c>
      <c r="O332" s="94">
        <f t="shared" si="383"/>
        <v>0</v>
      </c>
      <c r="P332" s="92">
        <f t="shared" si="384"/>
        <v>0</v>
      </c>
      <c r="Q332" s="95">
        <f t="shared" si="385"/>
        <v>0</v>
      </c>
      <c r="R332" s="116"/>
    </row>
    <row r="333" spans="1:18" x14ac:dyDescent="0.3">
      <c r="A333" s="83" t="str">
        <f>IF(TRIM(H333)&lt;&gt;"",COUNTA(H$9:$H333)&amp;"","")</f>
        <v>223</v>
      </c>
      <c r="B333" s="84"/>
      <c r="C333" s="84"/>
      <c r="D333" s="85"/>
      <c r="E333" s="97" t="s">
        <v>584</v>
      </c>
      <c r="F333" s="87">
        <v>3</v>
      </c>
      <c r="H333" s="88" t="s">
        <v>232</v>
      </c>
      <c r="I333" s="89">
        <f t="shared" si="377"/>
        <v>0</v>
      </c>
      <c r="J333" s="90">
        <f t="shared" si="378"/>
        <v>3</v>
      </c>
      <c r="K333" s="91">
        <f t="shared" si="379"/>
        <v>0</v>
      </c>
      <c r="L333" s="92">
        <f t="shared" si="380"/>
        <v>0</v>
      </c>
      <c r="M333" s="93">
        <f t="shared" si="381"/>
        <v>0</v>
      </c>
      <c r="N333" s="94">
        <f t="shared" si="382"/>
        <v>0</v>
      </c>
      <c r="O333" s="94">
        <f t="shared" si="383"/>
        <v>0</v>
      </c>
      <c r="P333" s="92">
        <f t="shared" si="384"/>
        <v>0</v>
      </c>
      <c r="Q333" s="95">
        <f t="shared" si="385"/>
        <v>0</v>
      </c>
      <c r="R333" s="116"/>
    </row>
    <row r="334" spans="1:18" ht="41.4" x14ac:dyDescent="0.3">
      <c r="A334" s="83" t="str">
        <f>IF(TRIM(H334)&lt;&gt;"",COUNTA(H$9:$H334)&amp;"","")</f>
        <v>224</v>
      </c>
      <c r="B334" s="84"/>
      <c r="C334" s="84"/>
      <c r="D334" s="85"/>
      <c r="E334" s="97" t="s">
        <v>585</v>
      </c>
      <c r="F334" s="87">
        <v>1</v>
      </c>
      <c r="H334" s="88" t="s">
        <v>232</v>
      </c>
      <c r="I334" s="89">
        <f t="shared" si="377"/>
        <v>0</v>
      </c>
      <c r="J334" s="90">
        <f t="shared" si="378"/>
        <v>1</v>
      </c>
      <c r="K334" s="91">
        <f t="shared" si="379"/>
        <v>0</v>
      </c>
      <c r="L334" s="92">
        <f t="shared" si="380"/>
        <v>0</v>
      </c>
      <c r="M334" s="93">
        <f t="shared" si="381"/>
        <v>0</v>
      </c>
      <c r="N334" s="94">
        <f t="shared" si="382"/>
        <v>0</v>
      </c>
      <c r="O334" s="94">
        <f t="shared" si="383"/>
        <v>0</v>
      </c>
      <c r="P334" s="92">
        <f t="shared" si="384"/>
        <v>0</v>
      </c>
      <c r="Q334" s="95">
        <f t="shared" si="385"/>
        <v>0</v>
      </c>
      <c r="R334" s="116"/>
    </row>
    <row r="335" spans="1:18" ht="41.4" x14ac:dyDescent="0.3">
      <c r="A335" s="83" t="str">
        <f>IF(TRIM(H335)&lt;&gt;"",COUNTA(H$9:$H335)&amp;"","")</f>
        <v>225</v>
      </c>
      <c r="B335" s="84"/>
      <c r="C335" s="84"/>
      <c r="D335" s="85"/>
      <c r="E335" s="97" t="s">
        <v>586</v>
      </c>
      <c r="F335" s="87">
        <v>1</v>
      </c>
      <c r="H335" s="88" t="s">
        <v>232</v>
      </c>
      <c r="I335" s="89">
        <f t="shared" si="377"/>
        <v>0</v>
      </c>
      <c r="J335" s="90">
        <f t="shared" si="378"/>
        <v>1</v>
      </c>
      <c r="K335" s="91">
        <f t="shared" si="379"/>
        <v>0</v>
      </c>
      <c r="L335" s="92">
        <f t="shared" si="380"/>
        <v>0</v>
      </c>
      <c r="M335" s="93">
        <f t="shared" si="381"/>
        <v>0</v>
      </c>
      <c r="N335" s="94">
        <f t="shared" si="382"/>
        <v>0</v>
      </c>
      <c r="O335" s="94">
        <f t="shared" si="383"/>
        <v>0</v>
      </c>
      <c r="P335" s="92">
        <f t="shared" si="384"/>
        <v>0</v>
      </c>
      <c r="Q335" s="95">
        <f t="shared" si="385"/>
        <v>0</v>
      </c>
      <c r="R335" s="116"/>
    </row>
    <row r="336" spans="1:18" ht="41.4" x14ac:dyDescent="0.3">
      <c r="A336" s="83" t="str">
        <f>IF(TRIM(H336)&lt;&gt;"",COUNTA(H$9:$H336)&amp;"","")</f>
        <v>226</v>
      </c>
      <c r="B336" s="84"/>
      <c r="C336" s="84"/>
      <c r="D336" s="85"/>
      <c r="E336" s="97" t="s">
        <v>587</v>
      </c>
      <c r="F336" s="87">
        <v>6</v>
      </c>
      <c r="H336" s="88" t="s">
        <v>232</v>
      </c>
      <c r="I336" s="89">
        <f t="shared" si="377"/>
        <v>0</v>
      </c>
      <c r="J336" s="90">
        <f t="shared" si="378"/>
        <v>6</v>
      </c>
      <c r="K336" s="91">
        <f t="shared" si="379"/>
        <v>0</v>
      </c>
      <c r="L336" s="92">
        <f t="shared" si="380"/>
        <v>0</v>
      </c>
      <c r="M336" s="93">
        <f t="shared" si="381"/>
        <v>0</v>
      </c>
      <c r="N336" s="94">
        <f t="shared" si="382"/>
        <v>0</v>
      </c>
      <c r="O336" s="94">
        <f t="shared" si="383"/>
        <v>0</v>
      </c>
      <c r="P336" s="92">
        <f t="shared" si="384"/>
        <v>0</v>
      </c>
      <c r="Q336" s="95">
        <f t="shared" si="385"/>
        <v>0</v>
      </c>
      <c r="R336" s="116"/>
    </row>
    <row r="337" spans="1:18" x14ac:dyDescent="0.3">
      <c r="A337" s="83" t="str">
        <f>IF(TRIM(H337)&lt;&gt;"",COUNTA(H$9:$H337)&amp;"","")</f>
        <v/>
      </c>
      <c r="B337" s="84"/>
      <c r="C337" s="84"/>
      <c r="D337" s="85"/>
      <c r="E337" s="97"/>
      <c r="F337" s="87"/>
      <c r="H337" s="88"/>
      <c r="I337" s="89" t="str">
        <f t="shared" si="377"/>
        <v/>
      </c>
      <c r="J337" s="90" t="str">
        <f t="shared" si="378"/>
        <v/>
      </c>
      <c r="K337" s="91" t="str">
        <f t="shared" si="379"/>
        <v/>
      </c>
      <c r="L337" s="92" t="str">
        <f t="shared" si="380"/>
        <v/>
      </c>
      <c r="M337" s="93" t="str">
        <f t="shared" si="381"/>
        <v/>
      </c>
      <c r="N337" s="94" t="str">
        <f t="shared" si="382"/>
        <v/>
      </c>
      <c r="O337" s="94" t="str">
        <f t="shared" si="383"/>
        <v/>
      </c>
      <c r="P337" s="92" t="str">
        <f t="shared" si="384"/>
        <v/>
      </c>
      <c r="Q337" s="95" t="str">
        <f t="shared" si="385"/>
        <v/>
      </c>
      <c r="R337" s="116"/>
    </row>
    <row r="338" spans="1:18" ht="15.6" x14ac:dyDescent="0.3">
      <c r="A338" s="83" t="str">
        <f>IF(TRIM(H338)&lt;&gt;"",COUNTA(H$9:$H338)&amp;"","")</f>
        <v/>
      </c>
      <c r="B338" s="84"/>
      <c r="C338" s="84"/>
      <c r="D338" s="85"/>
      <c r="E338" s="157" t="s">
        <v>588</v>
      </c>
      <c r="F338" s="87"/>
      <c r="H338" s="88"/>
      <c r="I338" s="89" t="str">
        <f t="shared" si="377"/>
        <v/>
      </c>
      <c r="J338" s="90" t="str">
        <f t="shared" si="378"/>
        <v/>
      </c>
      <c r="K338" s="91" t="str">
        <f t="shared" si="379"/>
        <v/>
      </c>
      <c r="L338" s="92" t="str">
        <f t="shared" si="380"/>
        <v/>
      </c>
      <c r="M338" s="93" t="str">
        <f t="shared" si="381"/>
        <v/>
      </c>
      <c r="N338" s="94" t="str">
        <f t="shared" si="382"/>
        <v/>
      </c>
      <c r="O338" s="94" t="str">
        <f t="shared" si="383"/>
        <v/>
      </c>
      <c r="P338" s="92" t="str">
        <f t="shared" si="384"/>
        <v/>
      </c>
      <c r="Q338" s="95" t="str">
        <f t="shared" si="385"/>
        <v/>
      </c>
      <c r="R338" s="116"/>
    </row>
    <row r="339" spans="1:18" ht="41.4" x14ac:dyDescent="0.3">
      <c r="A339" s="83" t="str">
        <f>IF(TRIM(H339)&lt;&gt;"",COUNTA(H$9:$H339)&amp;"","")</f>
        <v>227</v>
      </c>
      <c r="B339" s="84"/>
      <c r="C339" s="84"/>
      <c r="D339" s="85"/>
      <c r="E339" s="97" t="s">
        <v>589</v>
      </c>
      <c r="F339" s="87">
        <v>19.5</v>
      </c>
      <c r="H339" s="88" t="s">
        <v>232</v>
      </c>
      <c r="I339" s="89">
        <f t="shared" si="377"/>
        <v>0</v>
      </c>
      <c r="J339" s="90">
        <f t="shared" si="378"/>
        <v>19.5</v>
      </c>
      <c r="K339" s="91">
        <f t="shared" si="379"/>
        <v>0</v>
      </c>
      <c r="L339" s="92">
        <f t="shared" si="380"/>
        <v>0</v>
      </c>
      <c r="M339" s="93">
        <f t="shared" si="381"/>
        <v>0</v>
      </c>
      <c r="N339" s="94">
        <f t="shared" si="382"/>
        <v>0</v>
      </c>
      <c r="O339" s="94">
        <f t="shared" si="383"/>
        <v>0</v>
      </c>
      <c r="P339" s="92">
        <f t="shared" si="384"/>
        <v>0</v>
      </c>
      <c r="Q339" s="95">
        <f t="shared" si="385"/>
        <v>0</v>
      </c>
      <c r="R339" s="116"/>
    </row>
    <row r="340" spans="1:18" x14ac:dyDescent="0.3">
      <c r="A340" s="83" t="str">
        <f>IF(TRIM(H340)&lt;&gt;"",COUNTA(H$9:$H340)&amp;"","")</f>
        <v/>
      </c>
      <c r="B340" s="84"/>
      <c r="C340" s="84"/>
      <c r="D340" s="85"/>
      <c r="E340" s="97"/>
      <c r="F340" s="87"/>
      <c r="H340" s="88"/>
      <c r="I340" s="89" t="str">
        <f t="shared" si="377"/>
        <v/>
      </c>
      <c r="J340" s="90" t="str">
        <f t="shared" si="378"/>
        <v/>
      </c>
      <c r="K340" s="91" t="str">
        <f t="shared" si="379"/>
        <v/>
      </c>
      <c r="L340" s="92" t="str">
        <f t="shared" si="380"/>
        <v/>
      </c>
      <c r="M340" s="93" t="str">
        <f t="shared" si="381"/>
        <v/>
      </c>
      <c r="N340" s="94" t="str">
        <f t="shared" si="382"/>
        <v/>
      </c>
      <c r="O340" s="94" t="str">
        <f t="shared" si="383"/>
        <v/>
      </c>
      <c r="P340" s="92" t="str">
        <f t="shared" si="384"/>
        <v/>
      </c>
      <c r="Q340" s="95" t="str">
        <f t="shared" si="385"/>
        <v/>
      </c>
      <c r="R340" s="116"/>
    </row>
    <row r="341" spans="1:18" ht="15.6" x14ac:dyDescent="0.3">
      <c r="A341" s="83" t="str">
        <f>IF(TRIM(H341)&lt;&gt;"",COUNTA(H$9:$H341)&amp;"","")</f>
        <v/>
      </c>
      <c r="B341" s="84"/>
      <c r="C341" s="84"/>
      <c r="D341" s="85"/>
      <c r="E341" s="157" t="s">
        <v>591</v>
      </c>
      <c r="F341" s="87"/>
      <c r="H341" s="88"/>
      <c r="I341" s="89" t="s">
        <v>590</v>
      </c>
      <c r="J341" s="90" t="s">
        <v>590</v>
      </c>
      <c r="K341" s="91" t="s">
        <v>590</v>
      </c>
      <c r="L341" s="92" t="s">
        <v>590</v>
      </c>
      <c r="M341" s="93" t="s">
        <v>590</v>
      </c>
      <c r="N341" s="94" t="s">
        <v>590</v>
      </c>
      <c r="O341" s="94" t="s">
        <v>590</v>
      </c>
      <c r="P341" s="92" t="s">
        <v>590</v>
      </c>
      <c r="Q341" s="95" t="s">
        <v>590</v>
      </c>
      <c r="R341" s="116"/>
    </row>
    <row r="342" spans="1:18" ht="27.6" x14ac:dyDescent="0.3">
      <c r="A342" s="83" t="str">
        <f>IF(TRIM(H342)&lt;&gt;"",COUNTA(H$9:$H342)&amp;"","")</f>
        <v>228</v>
      </c>
      <c r="B342" s="84"/>
      <c r="C342" s="84"/>
      <c r="D342" s="85"/>
      <c r="E342" s="97" t="s">
        <v>592</v>
      </c>
      <c r="F342" s="87">
        <v>152</v>
      </c>
      <c r="H342" s="88" t="s">
        <v>175</v>
      </c>
      <c r="I342" s="89">
        <v>0.05</v>
      </c>
      <c r="J342" s="90">
        <v>19.5</v>
      </c>
      <c r="K342" s="91">
        <v>0</v>
      </c>
      <c r="L342" s="92">
        <v>0</v>
      </c>
      <c r="M342" s="93">
        <v>0</v>
      </c>
      <c r="N342" s="94">
        <v>0</v>
      </c>
      <c r="O342" s="94">
        <v>0</v>
      </c>
      <c r="P342" s="92">
        <v>0</v>
      </c>
      <c r="Q342" s="95">
        <v>0</v>
      </c>
      <c r="R342" s="116"/>
    </row>
    <row r="343" spans="1:18" ht="15" thickBot="1" x14ac:dyDescent="0.35">
      <c r="A343" s="83" t="str">
        <f>IF(TRIM(H343)&lt;&gt;"",COUNTA(H$9:$H343)&amp;"","")</f>
        <v/>
      </c>
      <c r="B343" s="98"/>
      <c r="C343" s="98"/>
      <c r="D343" s="85"/>
      <c r="E343" s="99"/>
      <c r="F343" s="87"/>
      <c r="H343" s="88"/>
      <c r="I343" s="89" t="str">
        <f t="shared" ref="I343" si="386">IF(F343=0,"",0)</f>
        <v/>
      </c>
      <c r="J343" s="90" t="str">
        <f t="shared" ref="J343" si="387">IF(F343=0,"",F343+(F343*I343))</f>
        <v/>
      </c>
      <c r="K343" s="91" t="str">
        <f t="shared" ref="K343" si="388">IF(F343=0,"",0)</f>
        <v/>
      </c>
      <c r="L343" s="92" t="str">
        <f t="shared" ref="L343" si="389">IF(F343=0,"",K343*J343)</f>
        <v/>
      </c>
      <c r="M343" s="93" t="str">
        <f t="shared" ref="M343" si="390">IF(F343=0,"",M$7)</f>
        <v/>
      </c>
      <c r="N343" s="94" t="str">
        <f t="shared" ref="N343" si="391">IF(F343=0,"",0)</f>
        <v/>
      </c>
      <c r="O343" s="94" t="str">
        <f t="shared" ref="O343" si="392">IF(F343=0,"",N343*J343)</f>
        <v/>
      </c>
      <c r="P343" s="92" t="str">
        <f t="shared" ref="P343" si="393">IF(F343=0,"",O343*M343)</f>
        <v/>
      </c>
      <c r="Q343" s="95" t="str">
        <f t="shared" ref="Q343" si="394">IF(F343=0,"",L343+P343)</f>
        <v/>
      </c>
      <c r="R343" s="116"/>
    </row>
    <row r="344" spans="1:18" s="111" customFormat="1" ht="16.2" thickBot="1" x14ac:dyDescent="0.35">
      <c r="A344" s="83" t="str">
        <f>IF(TRIM(H344)&lt;&gt;"",COUNTA(H$9:$H344)&amp;"","")</f>
        <v/>
      </c>
      <c r="B344" s="118"/>
      <c r="C344" s="118"/>
      <c r="D344" s="119"/>
      <c r="E344" s="102"/>
      <c r="F344" s="87"/>
      <c r="H344" s="120"/>
      <c r="I344" s="105" t="s">
        <v>12</v>
      </c>
      <c r="J344" s="106"/>
      <c r="K344" s="107">
        <f>SUM(L$269:L$343)</f>
        <v>0</v>
      </c>
      <c r="L344" s="211" t="s">
        <v>13</v>
      </c>
      <c r="M344" s="212"/>
      <c r="N344" s="108">
        <f>SUM(P$269:P$343)</f>
        <v>0</v>
      </c>
      <c r="O344" s="211" t="s">
        <v>42</v>
      </c>
      <c r="P344" s="212"/>
      <c r="Q344" s="109">
        <f>SUM(O$269:O$343)</f>
        <v>0</v>
      </c>
      <c r="R344" s="110">
        <f>SUM(Q$269:Q$343)</f>
        <v>0</v>
      </c>
    </row>
    <row r="345" spans="1:18" s="164" customFormat="1" ht="20.100000000000001" customHeight="1" x14ac:dyDescent="0.3">
      <c r="A345" s="160" t="str">
        <f>IF(TRIM(H345)&lt;&gt;"",COUNTA(H$9:$H345)&amp;"","")</f>
        <v/>
      </c>
      <c r="B345" s="161"/>
      <c r="C345" s="161"/>
      <c r="D345" s="162">
        <v>230000</v>
      </c>
      <c r="E345" s="162" t="s">
        <v>138</v>
      </c>
      <c r="F345" s="163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5"/>
    </row>
    <row r="346" spans="1:18" s="113" customFormat="1" ht="19.2" customHeight="1" x14ac:dyDescent="0.3">
      <c r="A346" s="83"/>
      <c r="B346" s="112"/>
      <c r="C346" s="112"/>
      <c r="D346" s="85"/>
      <c r="E346" s="121" t="s">
        <v>652</v>
      </c>
      <c r="F346" s="87"/>
      <c r="H346" s="88"/>
      <c r="I346" s="89"/>
      <c r="J346" s="90"/>
      <c r="K346" s="91"/>
      <c r="L346" s="92"/>
      <c r="M346" s="93"/>
      <c r="N346" s="94"/>
      <c r="O346" s="94"/>
      <c r="P346" s="92"/>
      <c r="Q346" s="95"/>
      <c r="R346" s="96"/>
    </row>
    <row r="347" spans="1:18" x14ac:dyDescent="0.3">
      <c r="A347" s="83" t="str">
        <f>IF(TRIM(H347)&lt;&gt;"",COUNTA(H$9:$H347)&amp;"","")</f>
        <v>229</v>
      </c>
      <c r="B347" s="84"/>
      <c r="C347" s="84"/>
      <c r="D347" s="85"/>
      <c r="E347" s="97" t="s">
        <v>653</v>
      </c>
      <c r="F347" s="87">
        <v>2</v>
      </c>
      <c r="H347" s="88" t="s">
        <v>232</v>
      </c>
      <c r="I347" s="89">
        <f t="shared" ref="I347:I349" si="395">IF(F347=0,"",0)</f>
        <v>0</v>
      </c>
      <c r="J347" s="90">
        <f t="shared" ref="J347:J349" si="396">IF(F347=0,"",F347+(F347*I347))</f>
        <v>2</v>
      </c>
      <c r="K347" s="91">
        <f t="shared" ref="K347:K349" si="397">IF(F347=0,"",0)</f>
        <v>0</v>
      </c>
      <c r="L347" s="92">
        <f t="shared" ref="L347:L349" si="398">IF(F347=0,"",K347*J347)</f>
        <v>0</v>
      </c>
      <c r="M347" s="93">
        <f t="shared" ref="M347:M349" si="399">IF(F347=0,"",M$7)</f>
        <v>0</v>
      </c>
      <c r="N347" s="94">
        <f t="shared" ref="N347:N349" si="400">IF(F347=0,"",0)</f>
        <v>0</v>
      </c>
      <c r="O347" s="94">
        <f t="shared" ref="O347:O349" si="401">IF(F347=0,"",N347*J347)</f>
        <v>0</v>
      </c>
      <c r="P347" s="92">
        <f t="shared" ref="P347:P349" si="402">IF(F347=0,"",O347*M347)</f>
        <v>0</v>
      </c>
      <c r="Q347" s="95">
        <f t="shared" ref="Q347:Q349" si="403">IF(F347=0,"",L347+P347)</f>
        <v>0</v>
      </c>
      <c r="R347" s="96"/>
    </row>
    <row r="348" spans="1:18" x14ac:dyDescent="0.3">
      <c r="A348" s="83" t="str">
        <f>IF(TRIM(H348)&lt;&gt;"",COUNTA(H$9:$H348)&amp;"","")</f>
        <v>230</v>
      </c>
      <c r="B348" s="84"/>
      <c r="C348" s="84"/>
      <c r="D348" s="85"/>
      <c r="E348" s="97" t="s">
        <v>654</v>
      </c>
      <c r="F348" s="87">
        <v>1</v>
      </c>
      <c r="H348" s="88" t="s">
        <v>232</v>
      </c>
      <c r="I348" s="89">
        <f t="shared" si="395"/>
        <v>0</v>
      </c>
      <c r="J348" s="90">
        <f t="shared" si="396"/>
        <v>1</v>
      </c>
      <c r="K348" s="91">
        <f t="shared" si="397"/>
        <v>0</v>
      </c>
      <c r="L348" s="92">
        <f t="shared" si="398"/>
        <v>0</v>
      </c>
      <c r="M348" s="93">
        <f t="shared" si="399"/>
        <v>0</v>
      </c>
      <c r="N348" s="94">
        <f t="shared" si="400"/>
        <v>0</v>
      </c>
      <c r="O348" s="94">
        <f t="shared" si="401"/>
        <v>0</v>
      </c>
      <c r="P348" s="92">
        <f t="shared" si="402"/>
        <v>0</v>
      </c>
      <c r="Q348" s="95">
        <f t="shared" si="403"/>
        <v>0</v>
      </c>
      <c r="R348" s="96"/>
    </row>
    <row r="349" spans="1:18" x14ac:dyDescent="0.3">
      <c r="A349" s="83" t="str">
        <f>IF(TRIM(H349)&lt;&gt;"",COUNTA(H$9:$H349)&amp;"","")</f>
        <v>231</v>
      </c>
      <c r="B349" s="84"/>
      <c r="C349" s="84"/>
      <c r="D349" s="85"/>
      <c r="E349" s="97" t="s">
        <v>655</v>
      </c>
      <c r="F349" s="87">
        <v>15</v>
      </c>
      <c r="H349" s="88" t="s">
        <v>232</v>
      </c>
      <c r="I349" s="89">
        <f t="shared" si="395"/>
        <v>0</v>
      </c>
      <c r="J349" s="90">
        <f t="shared" si="396"/>
        <v>15</v>
      </c>
      <c r="K349" s="91">
        <f t="shared" si="397"/>
        <v>0</v>
      </c>
      <c r="L349" s="92">
        <f t="shared" si="398"/>
        <v>0</v>
      </c>
      <c r="M349" s="93">
        <f t="shared" si="399"/>
        <v>0</v>
      </c>
      <c r="N349" s="94">
        <f t="shared" si="400"/>
        <v>0</v>
      </c>
      <c r="O349" s="94">
        <f t="shared" si="401"/>
        <v>0</v>
      </c>
      <c r="P349" s="92">
        <f t="shared" si="402"/>
        <v>0</v>
      </c>
      <c r="Q349" s="95">
        <f t="shared" si="403"/>
        <v>0</v>
      </c>
      <c r="R349" s="96"/>
    </row>
    <row r="350" spans="1:18" x14ac:dyDescent="0.3">
      <c r="A350" s="83"/>
      <c r="B350" s="84"/>
      <c r="C350" s="84"/>
      <c r="D350" s="85"/>
      <c r="E350" s="97"/>
      <c r="F350" s="87"/>
      <c r="H350" s="88"/>
      <c r="I350" s="89"/>
      <c r="J350" s="90"/>
      <c r="K350" s="91"/>
      <c r="L350" s="92"/>
      <c r="M350" s="93"/>
      <c r="N350" s="94"/>
      <c r="O350" s="94"/>
      <c r="P350" s="92"/>
      <c r="Q350" s="95"/>
      <c r="R350" s="96"/>
    </row>
    <row r="351" spans="1:18" s="113" customFormat="1" ht="19.2" customHeight="1" x14ac:dyDescent="0.3">
      <c r="A351" s="83"/>
      <c r="B351" s="112"/>
      <c r="C351" s="112"/>
      <c r="D351" s="85"/>
      <c r="E351" s="121" t="s">
        <v>593</v>
      </c>
      <c r="F351" s="87"/>
      <c r="H351" s="88"/>
      <c r="I351" s="89"/>
      <c r="J351" s="90"/>
      <c r="K351" s="91"/>
      <c r="L351" s="92"/>
      <c r="M351" s="93"/>
      <c r="N351" s="94"/>
      <c r="O351" s="94"/>
      <c r="P351" s="92"/>
      <c r="Q351" s="95"/>
      <c r="R351" s="96"/>
    </row>
    <row r="352" spans="1:18" x14ac:dyDescent="0.3">
      <c r="A352" s="83" t="str">
        <f>IF(TRIM(H352)&lt;&gt;"",COUNTA(H$9:$H352)&amp;"","")</f>
        <v>232</v>
      </c>
      <c r="B352" s="84"/>
      <c r="C352" s="84"/>
      <c r="D352" s="85"/>
      <c r="E352" s="97" t="s">
        <v>656</v>
      </c>
      <c r="F352" s="87">
        <v>193.9</v>
      </c>
      <c r="H352" s="88" t="s">
        <v>175</v>
      </c>
      <c r="I352" s="89">
        <f t="shared" ref="I352:I358" si="404">IF(F352=0,"",0)</f>
        <v>0</v>
      </c>
      <c r="J352" s="90">
        <f t="shared" ref="J352:J358" si="405">IF(F352=0,"",F352+(F352*I352))</f>
        <v>193.9</v>
      </c>
      <c r="K352" s="91">
        <f t="shared" ref="K352:K358" si="406">IF(F352=0,"",0)</f>
        <v>0</v>
      </c>
      <c r="L352" s="92">
        <f t="shared" ref="L352:L358" si="407">IF(F352=0,"",K352*J352)</f>
        <v>0</v>
      </c>
      <c r="M352" s="93">
        <f t="shared" ref="M352:M358" si="408">IF(F352=0,"",M$7)</f>
        <v>0</v>
      </c>
      <c r="N352" s="94">
        <f t="shared" ref="N352:N358" si="409">IF(F352=0,"",0)</f>
        <v>0</v>
      </c>
      <c r="O352" s="94">
        <f t="shared" ref="O352:O358" si="410">IF(F352=0,"",N352*J352)</f>
        <v>0</v>
      </c>
      <c r="P352" s="92">
        <f t="shared" ref="P352:P358" si="411">IF(F352=0,"",O352*M352)</f>
        <v>0</v>
      </c>
      <c r="Q352" s="95">
        <f t="shared" ref="Q352:Q358" si="412">IF(F352=0,"",L352+P352)</f>
        <v>0</v>
      </c>
      <c r="R352" s="96"/>
    </row>
    <row r="353" spans="1:18" x14ac:dyDescent="0.3">
      <c r="A353" s="83" t="str">
        <f>IF(TRIM(H353)&lt;&gt;"",COUNTA(H$9:$H353)&amp;"","")</f>
        <v>233</v>
      </c>
      <c r="B353" s="84"/>
      <c r="C353" s="84"/>
      <c r="D353" s="85"/>
      <c r="E353" s="97" t="s">
        <v>657</v>
      </c>
      <c r="F353" s="87">
        <v>51.34</v>
      </c>
      <c r="H353" s="88" t="s">
        <v>175</v>
      </c>
      <c r="I353" s="89">
        <f t="shared" si="404"/>
        <v>0</v>
      </c>
      <c r="J353" s="90">
        <f t="shared" si="405"/>
        <v>51.34</v>
      </c>
      <c r="K353" s="91">
        <f t="shared" si="406"/>
        <v>0</v>
      </c>
      <c r="L353" s="92">
        <f t="shared" si="407"/>
        <v>0</v>
      </c>
      <c r="M353" s="93">
        <f t="shared" si="408"/>
        <v>0</v>
      </c>
      <c r="N353" s="94">
        <f t="shared" si="409"/>
        <v>0</v>
      </c>
      <c r="O353" s="94">
        <f t="shared" si="410"/>
        <v>0</v>
      </c>
      <c r="P353" s="92">
        <f t="shared" si="411"/>
        <v>0</v>
      </c>
      <c r="Q353" s="95">
        <f t="shared" si="412"/>
        <v>0</v>
      </c>
      <c r="R353" s="96"/>
    </row>
    <row r="354" spans="1:18" x14ac:dyDescent="0.3">
      <c r="A354" s="83" t="str">
        <f>IF(TRIM(H354)&lt;&gt;"",COUNTA(H$9:$H354)&amp;"","")</f>
        <v>234</v>
      </c>
      <c r="B354" s="84"/>
      <c r="C354" s="84"/>
      <c r="D354" s="85"/>
      <c r="E354" s="97" t="s">
        <v>658</v>
      </c>
      <c r="F354" s="87">
        <v>1</v>
      </c>
      <c r="H354" s="88" t="s">
        <v>232</v>
      </c>
      <c r="I354" s="89">
        <f t="shared" si="404"/>
        <v>0</v>
      </c>
      <c r="J354" s="90">
        <f t="shared" si="405"/>
        <v>1</v>
      </c>
      <c r="K354" s="91">
        <f t="shared" si="406"/>
        <v>0</v>
      </c>
      <c r="L354" s="92">
        <f t="shared" si="407"/>
        <v>0</v>
      </c>
      <c r="M354" s="93">
        <f t="shared" si="408"/>
        <v>0</v>
      </c>
      <c r="N354" s="94">
        <f t="shared" si="409"/>
        <v>0</v>
      </c>
      <c r="O354" s="94">
        <f t="shared" si="410"/>
        <v>0</v>
      </c>
      <c r="P354" s="92">
        <f t="shared" si="411"/>
        <v>0</v>
      </c>
      <c r="Q354" s="95">
        <f t="shared" si="412"/>
        <v>0</v>
      </c>
      <c r="R354" s="96"/>
    </row>
    <row r="355" spans="1:18" x14ac:dyDescent="0.3">
      <c r="A355" s="83" t="str">
        <f>IF(TRIM(H355)&lt;&gt;"",COUNTA(H$9:$H355)&amp;"","")</f>
        <v>235</v>
      </c>
      <c r="B355" s="84"/>
      <c r="C355" s="84"/>
      <c r="D355" s="85"/>
      <c r="E355" s="97" t="s">
        <v>659</v>
      </c>
      <c r="F355" s="87">
        <v>40</v>
      </c>
      <c r="H355" s="88" t="s">
        <v>232</v>
      </c>
      <c r="I355" s="89">
        <f t="shared" si="404"/>
        <v>0</v>
      </c>
      <c r="J355" s="90">
        <f t="shared" si="405"/>
        <v>40</v>
      </c>
      <c r="K355" s="91">
        <f t="shared" si="406"/>
        <v>0</v>
      </c>
      <c r="L355" s="92">
        <f t="shared" si="407"/>
        <v>0</v>
      </c>
      <c r="M355" s="93">
        <f t="shared" si="408"/>
        <v>0</v>
      </c>
      <c r="N355" s="94">
        <f t="shared" si="409"/>
        <v>0</v>
      </c>
      <c r="O355" s="94">
        <f t="shared" si="410"/>
        <v>0</v>
      </c>
      <c r="P355" s="92">
        <f t="shared" si="411"/>
        <v>0</v>
      </c>
      <c r="Q355" s="95">
        <f t="shared" si="412"/>
        <v>0</v>
      </c>
      <c r="R355" s="96"/>
    </row>
    <row r="356" spans="1:18" x14ac:dyDescent="0.3">
      <c r="A356" s="83" t="str">
        <f>IF(TRIM(H356)&lt;&gt;"",COUNTA(H$9:$H356)&amp;"","")</f>
        <v>236</v>
      </c>
      <c r="B356" s="84"/>
      <c r="C356" s="84"/>
      <c r="D356" s="85"/>
      <c r="E356" s="97" t="s">
        <v>660</v>
      </c>
      <c r="F356" s="87">
        <v>2</v>
      </c>
      <c r="H356" s="88" t="s">
        <v>232</v>
      </c>
      <c r="I356" s="89">
        <f t="shared" si="404"/>
        <v>0</v>
      </c>
      <c r="J356" s="90">
        <f t="shared" si="405"/>
        <v>2</v>
      </c>
      <c r="K356" s="91">
        <f t="shared" si="406"/>
        <v>0</v>
      </c>
      <c r="L356" s="92">
        <f t="shared" si="407"/>
        <v>0</v>
      </c>
      <c r="M356" s="93">
        <f t="shared" si="408"/>
        <v>0</v>
      </c>
      <c r="N356" s="94">
        <f t="shared" si="409"/>
        <v>0</v>
      </c>
      <c r="O356" s="94">
        <f t="shared" si="410"/>
        <v>0</v>
      </c>
      <c r="P356" s="92">
        <f t="shared" si="411"/>
        <v>0</v>
      </c>
      <c r="Q356" s="95">
        <f t="shared" si="412"/>
        <v>0</v>
      </c>
      <c r="R356" s="96"/>
    </row>
    <row r="357" spans="1:18" x14ac:dyDescent="0.3">
      <c r="A357" s="83" t="str">
        <f>IF(TRIM(H357)&lt;&gt;"",COUNTA(H$9:$H357)&amp;"","")</f>
        <v>237</v>
      </c>
      <c r="B357" s="84"/>
      <c r="C357" s="84"/>
      <c r="D357" s="85"/>
      <c r="E357" s="97" t="s">
        <v>661</v>
      </c>
      <c r="F357" s="87">
        <v>1</v>
      </c>
      <c r="H357" s="88" t="s">
        <v>232</v>
      </c>
      <c r="I357" s="89">
        <f t="shared" si="404"/>
        <v>0</v>
      </c>
      <c r="J357" s="90">
        <f t="shared" si="405"/>
        <v>1</v>
      </c>
      <c r="K357" s="91">
        <f t="shared" si="406"/>
        <v>0</v>
      </c>
      <c r="L357" s="92">
        <f t="shared" si="407"/>
        <v>0</v>
      </c>
      <c r="M357" s="93">
        <f t="shared" si="408"/>
        <v>0</v>
      </c>
      <c r="N357" s="94">
        <f t="shared" si="409"/>
        <v>0</v>
      </c>
      <c r="O357" s="94">
        <f t="shared" si="410"/>
        <v>0</v>
      </c>
      <c r="P357" s="92">
        <f t="shared" si="411"/>
        <v>0</v>
      </c>
      <c r="Q357" s="95">
        <f t="shared" si="412"/>
        <v>0</v>
      </c>
      <c r="R357" s="96"/>
    </row>
    <row r="358" spans="1:18" x14ac:dyDescent="0.3">
      <c r="A358" s="83" t="str">
        <f>IF(TRIM(H358)&lt;&gt;"",COUNTA(H$9:$H358)&amp;"","")</f>
        <v>238</v>
      </c>
      <c r="B358" s="84"/>
      <c r="C358" s="84"/>
      <c r="D358" s="85"/>
      <c r="E358" s="97" t="s">
        <v>662</v>
      </c>
      <c r="F358" s="87">
        <v>1</v>
      </c>
      <c r="H358" s="88" t="s">
        <v>232</v>
      </c>
      <c r="I358" s="89">
        <f t="shared" si="404"/>
        <v>0</v>
      </c>
      <c r="J358" s="90">
        <f t="shared" si="405"/>
        <v>1</v>
      </c>
      <c r="K358" s="91">
        <f t="shared" si="406"/>
        <v>0</v>
      </c>
      <c r="L358" s="92">
        <f t="shared" si="407"/>
        <v>0</v>
      </c>
      <c r="M358" s="93">
        <f t="shared" si="408"/>
        <v>0</v>
      </c>
      <c r="N358" s="94">
        <f t="shared" si="409"/>
        <v>0</v>
      </c>
      <c r="O358" s="94">
        <f t="shared" si="410"/>
        <v>0</v>
      </c>
      <c r="P358" s="92">
        <f t="shared" si="411"/>
        <v>0</v>
      </c>
      <c r="Q358" s="95">
        <f t="shared" si="412"/>
        <v>0</v>
      </c>
      <c r="R358" s="96"/>
    </row>
    <row r="359" spans="1:18" x14ac:dyDescent="0.3">
      <c r="A359" s="83"/>
      <c r="B359" s="84"/>
      <c r="C359" s="84"/>
      <c r="D359" s="85"/>
      <c r="E359" s="97"/>
      <c r="F359" s="87"/>
      <c r="H359" s="88"/>
      <c r="I359" s="89"/>
      <c r="J359" s="90"/>
      <c r="K359" s="91"/>
      <c r="L359" s="92"/>
      <c r="M359" s="93"/>
      <c r="N359" s="94"/>
      <c r="O359" s="94"/>
      <c r="P359" s="92"/>
      <c r="Q359" s="95"/>
      <c r="R359" s="96"/>
    </row>
    <row r="360" spans="1:18" s="113" customFormat="1" ht="19.2" customHeight="1" x14ac:dyDescent="0.3">
      <c r="A360" s="83"/>
      <c r="B360" s="112"/>
      <c r="C360" s="112"/>
      <c r="D360" s="85"/>
      <c r="E360" s="121" t="s">
        <v>663</v>
      </c>
      <c r="F360" s="87"/>
      <c r="H360" s="88"/>
      <c r="I360" s="89"/>
      <c r="J360" s="90"/>
      <c r="K360" s="91"/>
      <c r="L360" s="92"/>
      <c r="M360" s="93"/>
      <c r="N360" s="94"/>
      <c r="O360" s="94"/>
      <c r="P360" s="92"/>
      <c r="Q360" s="95"/>
      <c r="R360" s="96"/>
    </row>
    <row r="361" spans="1:18" x14ac:dyDescent="0.3">
      <c r="A361" s="83" t="str">
        <f>IF(TRIM(H361)&lt;&gt;"",COUNTA(H$9:$H361)&amp;"","")</f>
        <v>239</v>
      </c>
      <c r="B361" s="84"/>
      <c r="C361" s="84"/>
      <c r="D361" s="85"/>
      <c r="E361" s="97" t="s">
        <v>664</v>
      </c>
      <c r="F361" s="87">
        <v>1</v>
      </c>
      <c r="H361" s="88" t="s">
        <v>232</v>
      </c>
      <c r="I361" s="89">
        <f t="shared" ref="I361:I362" si="413">IF(F361=0,"",0)</f>
        <v>0</v>
      </c>
      <c r="J361" s="90">
        <f t="shared" ref="J361:J362" si="414">IF(F361=0,"",F361+(F361*I361))</f>
        <v>1</v>
      </c>
      <c r="K361" s="91">
        <f t="shared" ref="K361:K362" si="415">IF(F361=0,"",0)</f>
        <v>0</v>
      </c>
      <c r="L361" s="92">
        <f t="shared" ref="L361:L362" si="416">IF(F361=0,"",K361*J361)</f>
        <v>0</v>
      </c>
      <c r="M361" s="93">
        <f t="shared" ref="M361:M362" si="417">IF(F361=0,"",M$7)</f>
        <v>0</v>
      </c>
      <c r="N361" s="94">
        <f t="shared" ref="N361:N362" si="418">IF(F361=0,"",0)</f>
        <v>0</v>
      </c>
      <c r="O361" s="94">
        <f t="shared" ref="O361:O362" si="419">IF(F361=0,"",N361*J361)</f>
        <v>0</v>
      </c>
      <c r="P361" s="92">
        <f t="shared" ref="P361:P362" si="420">IF(F361=0,"",O361*M361)</f>
        <v>0</v>
      </c>
      <c r="Q361" s="95">
        <f t="shared" ref="Q361:Q362" si="421">IF(F361=0,"",L361+P361)</f>
        <v>0</v>
      </c>
      <c r="R361" s="96"/>
    </row>
    <row r="362" spans="1:18" ht="27.6" x14ac:dyDescent="0.3">
      <c r="A362" s="83" t="str">
        <f>IF(TRIM(H362)&lt;&gt;"",COUNTA(H$9:$H362)&amp;"","")</f>
        <v>240</v>
      </c>
      <c r="B362" s="84"/>
      <c r="C362" s="84"/>
      <c r="D362" s="85"/>
      <c r="E362" s="97" t="s">
        <v>665</v>
      </c>
      <c r="F362" s="87">
        <v>15</v>
      </c>
      <c r="H362" s="88" t="s">
        <v>232</v>
      </c>
      <c r="I362" s="89">
        <f t="shared" si="413"/>
        <v>0</v>
      </c>
      <c r="J362" s="90">
        <f t="shared" si="414"/>
        <v>15</v>
      </c>
      <c r="K362" s="91">
        <f t="shared" si="415"/>
        <v>0</v>
      </c>
      <c r="L362" s="92">
        <f t="shared" si="416"/>
        <v>0</v>
      </c>
      <c r="M362" s="93">
        <f t="shared" si="417"/>
        <v>0</v>
      </c>
      <c r="N362" s="94">
        <f t="shared" si="418"/>
        <v>0</v>
      </c>
      <c r="O362" s="94">
        <f t="shared" si="419"/>
        <v>0</v>
      </c>
      <c r="P362" s="92">
        <f t="shared" si="420"/>
        <v>0</v>
      </c>
      <c r="Q362" s="95">
        <f t="shared" si="421"/>
        <v>0</v>
      </c>
      <c r="R362" s="96"/>
    </row>
    <row r="363" spans="1:18" s="113" customFormat="1" ht="19.2" customHeight="1" x14ac:dyDescent="0.3">
      <c r="A363" s="83"/>
      <c r="B363" s="112"/>
      <c r="C363" s="112"/>
      <c r="D363" s="85"/>
      <c r="E363" s="121" t="s">
        <v>666</v>
      </c>
      <c r="F363" s="87"/>
      <c r="H363" s="88"/>
      <c r="I363" s="89"/>
      <c r="J363" s="90"/>
      <c r="K363" s="91"/>
      <c r="L363" s="92"/>
      <c r="M363" s="93"/>
      <c r="N363" s="94"/>
      <c r="O363" s="94"/>
      <c r="P363" s="92"/>
      <c r="Q363" s="95"/>
      <c r="R363" s="96"/>
    </row>
    <row r="364" spans="1:18" x14ac:dyDescent="0.3">
      <c r="A364" s="83" t="str">
        <f>IF(TRIM(H364)&lt;&gt;"",COUNTA(H$9:$H364)&amp;"","")</f>
        <v>241</v>
      </c>
      <c r="B364" s="84"/>
      <c r="C364" s="84"/>
      <c r="D364" s="85"/>
      <c r="E364" s="97" t="s">
        <v>667</v>
      </c>
      <c r="F364" s="87">
        <v>27</v>
      </c>
      <c r="H364" s="88" t="s">
        <v>232</v>
      </c>
      <c r="I364" s="89">
        <f t="shared" ref="I364:I365" si="422">IF(F364=0,"",0)</f>
        <v>0</v>
      </c>
      <c r="J364" s="90">
        <f t="shared" ref="J364:J365" si="423">IF(F364=0,"",F364+(F364*I364))</f>
        <v>27</v>
      </c>
      <c r="K364" s="91">
        <f t="shared" ref="K364:K365" si="424">IF(F364=0,"",0)</f>
        <v>0</v>
      </c>
      <c r="L364" s="92">
        <f t="shared" ref="L364:L365" si="425">IF(F364=0,"",K364*J364)</f>
        <v>0</v>
      </c>
      <c r="M364" s="93">
        <f t="shared" ref="M364:M365" si="426">IF(F364=0,"",M$7)</f>
        <v>0</v>
      </c>
      <c r="N364" s="94">
        <f t="shared" ref="N364:N365" si="427">IF(F364=0,"",0)</f>
        <v>0</v>
      </c>
      <c r="O364" s="94">
        <f t="shared" ref="O364:O365" si="428">IF(F364=0,"",N364*J364)</f>
        <v>0</v>
      </c>
      <c r="P364" s="92">
        <f t="shared" ref="P364:P365" si="429">IF(F364=0,"",O364*M364)</f>
        <v>0</v>
      </c>
      <c r="Q364" s="95">
        <f t="shared" ref="Q364:Q365" si="430">IF(F364=0,"",L364+P364)</f>
        <v>0</v>
      </c>
      <c r="R364" s="96"/>
    </row>
    <row r="365" spans="1:18" x14ac:dyDescent="0.3">
      <c r="A365" s="83" t="str">
        <f>IF(TRIM(H365)&lt;&gt;"",COUNTA(H$9:$H365)&amp;"","")</f>
        <v>242</v>
      </c>
      <c r="B365" s="84"/>
      <c r="C365" s="84"/>
      <c r="D365" s="85"/>
      <c r="E365" s="97" t="s">
        <v>668</v>
      </c>
      <c r="F365" s="87">
        <v>9</v>
      </c>
      <c r="H365" s="88" t="s">
        <v>232</v>
      </c>
      <c r="I365" s="89">
        <f t="shared" si="422"/>
        <v>0</v>
      </c>
      <c r="J365" s="90">
        <f t="shared" si="423"/>
        <v>9</v>
      </c>
      <c r="K365" s="91">
        <f t="shared" si="424"/>
        <v>0</v>
      </c>
      <c r="L365" s="92">
        <f t="shared" si="425"/>
        <v>0</v>
      </c>
      <c r="M365" s="93">
        <f t="shared" si="426"/>
        <v>0</v>
      </c>
      <c r="N365" s="94">
        <f t="shared" si="427"/>
        <v>0</v>
      </c>
      <c r="O365" s="94">
        <f t="shared" si="428"/>
        <v>0</v>
      </c>
      <c r="P365" s="92">
        <f t="shared" si="429"/>
        <v>0</v>
      </c>
      <c r="Q365" s="95">
        <f t="shared" si="430"/>
        <v>0</v>
      </c>
      <c r="R365" s="96"/>
    </row>
    <row r="366" spans="1:18" x14ac:dyDescent="0.3">
      <c r="A366" s="83" t="str">
        <f>IF(TRIM(H366)&lt;&gt;"",COUNTA(H$9:$H366)&amp;"","")</f>
        <v/>
      </c>
      <c r="B366" s="84"/>
      <c r="C366" s="84"/>
      <c r="D366" s="85"/>
      <c r="E366" s="86"/>
      <c r="F366" s="87"/>
      <c r="H366" s="88"/>
      <c r="I366" s="89" t="str">
        <f t="shared" ref="I366:I439" si="431">IF(F366=0,"",0)</f>
        <v/>
      </c>
      <c r="J366" s="90" t="str">
        <f t="shared" ref="J366:J439" si="432">IF(F366=0,"",F366+(F366*I366))</f>
        <v/>
      </c>
      <c r="K366" s="91" t="str">
        <f t="shared" ref="K366:K439" si="433">IF(F366=0,"",0)</f>
        <v/>
      </c>
      <c r="L366" s="92" t="str">
        <f t="shared" ref="L366:L439" si="434">IF(F366=0,"",K366*J366)</f>
        <v/>
      </c>
      <c r="M366" s="93" t="str">
        <f t="shared" ref="M366:M439" si="435">IF(F366=0,"",M$7)</f>
        <v/>
      </c>
      <c r="N366" s="94" t="str">
        <f t="shared" ref="N366:N439" si="436">IF(F366=0,"",0)</f>
        <v/>
      </c>
      <c r="O366" s="94" t="str">
        <f t="shared" ref="O366:O439" si="437">IF(F366=0,"",N366*J366)</f>
        <v/>
      </c>
      <c r="P366" s="92" t="str">
        <f t="shared" ref="P366:P439" si="438">IF(F366=0,"",O366*M366)</f>
        <v/>
      </c>
      <c r="Q366" s="95" t="str">
        <f t="shared" ref="Q366:Q439" si="439">IF(F366=0,"",L366+P366)</f>
        <v/>
      </c>
      <c r="R366" s="116"/>
    </row>
    <row r="367" spans="1:18" ht="15.6" x14ac:dyDescent="0.3">
      <c r="A367" s="83" t="str">
        <f>IF(TRIM(H367)&lt;&gt;"",COUNTA(H$9:$H367)&amp;"","")</f>
        <v/>
      </c>
      <c r="B367" s="84"/>
      <c r="C367" s="84"/>
      <c r="D367" s="85"/>
      <c r="E367" s="157" t="s">
        <v>598</v>
      </c>
      <c r="F367" s="87"/>
      <c r="H367" s="88"/>
      <c r="I367" s="89" t="str">
        <f t="shared" si="431"/>
        <v/>
      </c>
      <c r="J367" s="90" t="str">
        <f t="shared" si="432"/>
        <v/>
      </c>
      <c r="K367" s="91" t="str">
        <f t="shared" si="433"/>
        <v/>
      </c>
      <c r="L367" s="92" t="str">
        <f t="shared" si="434"/>
        <v/>
      </c>
      <c r="M367" s="93" t="str">
        <f t="shared" si="435"/>
        <v/>
      </c>
      <c r="N367" s="94" t="str">
        <f t="shared" si="436"/>
        <v/>
      </c>
      <c r="O367" s="94" t="str">
        <f t="shared" si="437"/>
        <v/>
      </c>
      <c r="P367" s="92" t="str">
        <f t="shared" si="438"/>
        <v/>
      </c>
      <c r="Q367" s="95" t="str">
        <f t="shared" si="439"/>
        <v/>
      </c>
      <c r="R367" s="116"/>
    </row>
    <row r="368" spans="1:18" x14ac:dyDescent="0.3">
      <c r="A368" s="83" t="str">
        <f>IF(TRIM(H368)&lt;&gt;"",COUNTA(H$9:$H368)&amp;"","")</f>
        <v/>
      </c>
      <c r="B368" s="84"/>
      <c r="C368" s="84"/>
      <c r="D368" s="85"/>
      <c r="E368" s="121" t="s">
        <v>162</v>
      </c>
      <c r="F368" s="87"/>
      <c r="H368" s="88"/>
      <c r="I368" s="89" t="str">
        <f t="shared" si="431"/>
        <v/>
      </c>
      <c r="J368" s="90" t="str">
        <f t="shared" si="432"/>
        <v/>
      </c>
      <c r="K368" s="91" t="str">
        <f t="shared" si="433"/>
        <v/>
      </c>
      <c r="L368" s="92" t="str">
        <f t="shared" si="434"/>
        <v/>
      </c>
      <c r="M368" s="93" t="str">
        <f t="shared" si="435"/>
        <v/>
      </c>
      <c r="N368" s="94" t="str">
        <f t="shared" si="436"/>
        <v/>
      </c>
      <c r="O368" s="94" t="str">
        <f t="shared" si="437"/>
        <v/>
      </c>
      <c r="P368" s="92" t="str">
        <f t="shared" si="438"/>
        <v/>
      </c>
      <c r="Q368" s="95" t="str">
        <f t="shared" si="439"/>
        <v/>
      </c>
      <c r="R368" s="116"/>
    </row>
    <row r="369" spans="1:18" x14ac:dyDescent="0.3">
      <c r="A369" s="83" t="str">
        <f>IF(TRIM(H369)&lt;&gt;"",COUNTA(H$9:$H369)&amp;"","")</f>
        <v>243</v>
      </c>
      <c r="B369" s="84"/>
      <c r="C369" s="84"/>
      <c r="D369" s="85"/>
      <c r="E369" s="86" t="s">
        <v>599</v>
      </c>
      <c r="F369" s="87">
        <v>3</v>
      </c>
      <c r="H369" s="88" t="s">
        <v>175</v>
      </c>
      <c r="I369" s="89">
        <v>0.05</v>
      </c>
      <c r="J369" s="90">
        <f t="shared" si="432"/>
        <v>3.15</v>
      </c>
      <c r="K369" s="91">
        <f t="shared" si="433"/>
        <v>0</v>
      </c>
      <c r="L369" s="92">
        <f t="shared" si="434"/>
        <v>0</v>
      </c>
      <c r="M369" s="93">
        <f t="shared" si="435"/>
        <v>0</v>
      </c>
      <c r="N369" s="94">
        <f t="shared" si="436"/>
        <v>0</v>
      </c>
      <c r="O369" s="94">
        <f t="shared" si="437"/>
        <v>0</v>
      </c>
      <c r="P369" s="92">
        <f t="shared" si="438"/>
        <v>0</v>
      </c>
      <c r="Q369" s="95">
        <f t="shared" si="439"/>
        <v>0</v>
      </c>
      <c r="R369" s="116"/>
    </row>
    <row r="370" spans="1:18" x14ac:dyDescent="0.3">
      <c r="A370" s="83" t="str">
        <f>IF(TRIM(H370)&lt;&gt;"",COUNTA(H$9:$H370)&amp;"","")</f>
        <v>244</v>
      </c>
      <c r="B370" s="84"/>
      <c r="C370" s="84"/>
      <c r="D370" s="85"/>
      <c r="E370" s="86" t="s">
        <v>600</v>
      </c>
      <c r="F370" s="87">
        <v>12.46</v>
      </c>
      <c r="H370" s="88" t="s">
        <v>175</v>
      </c>
      <c r="I370" s="89">
        <v>0.05</v>
      </c>
      <c r="J370" s="90">
        <f t="shared" si="432"/>
        <v>13.083</v>
      </c>
      <c r="K370" s="91">
        <f t="shared" si="433"/>
        <v>0</v>
      </c>
      <c r="L370" s="92">
        <f t="shared" si="434"/>
        <v>0</v>
      </c>
      <c r="M370" s="93">
        <f t="shared" si="435"/>
        <v>0</v>
      </c>
      <c r="N370" s="94">
        <f t="shared" si="436"/>
        <v>0</v>
      </c>
      <c r="O370" s="94">
        <f t="shared" si="437"/>
        <v>0</v>
      </c>
      <c r="P370" s="92">
        <f t="shared" si="438"/>
        <v>0</v>
      </c>
      <c r="Q370" s="95">
        <f t="shared" si="439"/>
        <v>0</v>
      </c>
      <c r="R370" s="116"/>
    </row>
    <row r="371" spans="1:18" x14ac:dyDescent="0.3">
      <c r="A371" s="83" t="str">
        <f>IF(TRIM(H371)&lt;&gt;"",COUNTA(H$9:$H371)&amp;"","")</f>
        <v/>
      </c>
      <c r="B371" s="84"/>
      <c r="C371" s="84"/>
      <c r="D371" s="85"/>
      <c r="E371" s="97"/>
      <c r="F371" s="87"/>
      <c r="H371" s="88"/>
      <c r="I371" s="89" t="str">
        <f t="shared" si="431"/>
        <v/>
      </c>
      <c r="J371" s="90" t="str">
        <f t="shared" si="432"/>
        <v/>
      </c>
      <c r="K371" s="91" t="str">
        <f t="shared" si="433"/>
        <v/>
      </c>
      <c r="L371" s="92" t="str">
        <f t="shared" si="434"/>
        <v/>
      </c>
      <c r="M371" s="93" t="str">
        <f t="shared" si="435"/>
        <v/>
      </c>
      <c r="N371" s="94" t="str">
        <f t="shared" si="436"/>
        <v/>
      </c>
      <c r="O371" s="94" t="str">
        <f t="shared" si="437"/>
        <v/>
      </c>
      <c r="P371" s="92" t="str">
        <f t="shared" si="438"/>
        <v/>
      </c>
      <c r="Q371" s="95" t="str">
        <f t="shared" si="439"/>
        <v/>
      </c>
      <c r="R371" s="116"/>
    </row>
    <row r="372" spans="1:18" x14ac:dyDescent="0.3">
      <c r="A372" s="83" t="str">
        <f>IF(TRIM(H372)&lt;&gt;"",COUNTA(H$9:$H372)&amp;"","")</f>
        <v/>
      </c>
      <c r="B372" s="84"/>
      <c r="C372" s="84"/>
      <c r="D372" s="85"/>
      <c r="E372" s="121" t="s">
        <v>163</v>
      </c>
      <c r="F372" s="87"/>
      <c r="H372" s="88"/>
      <c r="I372" s="89" t="str">
        <f t="shared" si="431"/>
        <v/>
      </c>
      <c r="J372" s="90" t="str">
        <f t="shared" si="432"/>
        <v/>
      </c>
      <c r="K372" s="91" t="str">
        <f t="shared" si="433"/>
        <v/>
      </c>
      <c r="L372" s="92" t="str">
        <f t="shared" si="434"/>
        <v/>
      </c>
      <c r="M372" s="93" t="str">
        <f t="shared" si="435"/>
        <v/>
      </c>
      <c r="N372" s="94" t="str">
        <f t="shared" si="436"/>
        <v/>
      </c>
      <c r="O372" s="94" t="str">
        <f t="shared" si="437"/>
        <v/>
      </c>
      <c r="P372" s="92" t="str">
        <f t="shared" si="438"/>
        <v/>
      </c>
      <c r="Q372" s="95" t="str">
        <f t="shared" si="439"/>
        <v/>
      </c>
      <c r="R372" s="116"/>
    </row>
    <row r="373" spans="1:18" x14ac:dyDescent="0.3">
      <c r="A373" s="83" t="str">
        <f>IF(TRIM(H373)&lt;&gt;"",COUNTA(H$9:$H373)&amp;"","")</f>
        <v>245</v>
      </c>
      <c r="B373" s="84"/>
      <c r="C373" s="84"/>
      <c r="D373" s="85"/>
      <c r="E373" s="97" t="s">
        <v>601</v>
      </c>
      <c r="F373" s="87">
        <v>2.42</v>
      </c>
      <c r="H373" s="88" t="s">
        <v>175</v>
      </c>
      <c r="I373" s="89">
        <v>0.05</v>
      </c>
      <c r="J373" s="90">
        <f t="shared" si="432"/>
        <v>2.5409999999999999</v>
      </c>
      <c r="K373" s="91">
        <f t="shared" si="433"/>
        <v>0</v>
      </c>
      <c r="L373" s="92">
        <f t="shared" si="434"/>
        <v>0</v>
      </c>
      <c r="M373" s="93">
        <f t="shared" si="435"/>
        <v>0</v>
      </c>
      <c r="N373" s="94">
        <f t="shared" si="436"/>
        <v>0</v>
      </c>
      <c r="O373" s="94">
        <f t="shared" si="437"/>
        <v>0</v>
      </c>
      <c r="P373" s="92">
        <f t="shared" si="438"/>
        <v>0</v>
      </c>
      <c r="Q373" s="95">
        <f t="shared" si="439"/>
        <v>0</v>
      </c>
      <c r="R373" s="116"/>
    </row>
    <row r="374" spans="1:18" x14ac:dyDescent="0.3">
      <c r="A374" s="83" t="str">
        <f>IF(TRIM(H374)&lt;&gt;"",COUNTA(H$9:$H374)&amp;"","")</f>
        <v>246</v>
      </c>
      <c r="B374" s="84"/>
      <c r="C374" s="84"/>
      <c r="D374" s="85"/>
      <c r="E374" s="97" t="s">
        <v>602</v>
      </c>
      <c r="F374" s="87">
        <v>13.97</v>
      </c>
      <c r="H374" s="88" t="s">
        <v>175</v>
      </c>
      <c r="I374" s="89">
        <v>0.05</v>
      </c>
      <c r="J374" s="90">
        <f t="shared" si="432"/>
        <v>14.668500000000002</v>
      </c>
      <c r="K374" s="91">
        <f t="shared" si="433"/>
        <v>0</v>
      </c>
      <c r="L374" s="92">
        <f t="shared" si="434"/>
        <v>0</v>
      </c>
      <c r="M374" s="93">
        <f t="shared" si="435"/>
        <v>0</v>
      </c>
      <c r="N374" s="94">
        <f t="shared" si="436"/>
        <v>0</v>
      </c>
      <c r="O374" s="94">
        <f t="shared" si="437"/>
        <v>0</v>
      </c>
      <c r="P374" s="92">
        <f t="shared" si="438"/>
        <v>0</v>
      </c>
      <c r="Q374" s="95">
        <f t="shared" si="439"/>
        <v>0</v>
      </c>
      <c r="R374" s="116"/>
    </row>
    <row r="375" spans="1:18" x14ac:dyDescent="0.3">
      <c r="A375" s="83" t="str">
        <f>IF(TRIM(H375)&lt;&gt;"",COUNTA(H$9:$H375)&amp;"","")</f>
        <v>247</v>
      </c>
      <c r="B375" s="84"/>
      <c r="C375" s="84"/>
      <c r="D375" s="85"/>
      <c r="E375" s="97" t="s">
        <v>603</v>
      </c>
      <c r="F375" s="87">
        <v>41.35</v>
      </c>
      <c r="H375" s="88" t="s">
        <v>175</v>
      </c>
      <c r="I375" s="89">
        <v>0.05</v>
      </c>
      <c r="J375" s="90">
        <f t="shared" si="432"/>
        <v>43.417500000000004</v>
      </c>
      <c r="K375" s="91">
        <f t="shared" si="433"/>
        <v>0</v>
      </c>
      <c r="L375" s="92">
        <f t="shared" si="434"/>
        <v>0</v>
      </c>
      <c r="M375" s="93">
        <f t="shared" si="435"/>
        <v>0</v>
      </c>
      <c r="N375" s="94">
        <f t="shared" si="436"/>
        <v>0</v>
      </c>
      <c r="O375" s="94">
        <f t="shared" si="437"/>
        <v>0</v>
      </c>
      <c r="P375" s="92">
        <f t="shared" si="438"/>
        <v>0</v>
      </c>
      <c r="Q375" s="95">
        <f t="shared" si="439"/>
        <v>0</v>
      </c>
      <c r="R375" s="116"/>
    </row>
    <row r="376" spans="1:18" x14ac:dyDescent="0.3">
      <c r="A376" s="83" t="str">
        <f>IF(TRIM(H376)&lt;&gt;"",COUNTA(H$9:$H376)&amp;"","")</f>
        <v>248</v>
      </c>
      <c r="B376" s="84"/>
      <c r="C376" s="84"/>
      <c r="D376" s="85"/>
      <c r="E376" s="97" t="s">
        <v>604</v>
      </c>
      <c r="F376" s="87">
        <v>6.37</v>
      </c>
      <c r="H376" s="88" t="s">
        <v>175</v>
      </c>
      <c r="I376" s="89">
        <v>0.05</v>
      </c>
      <c r="J376" s="90">
        <f t="shared" si="432"/>
        <v>6.6885000000000003</v>
      </c>
      <c r="K376" s="91">
        <f t="shared" si="433"/>
        <v>0</v>
      </c>
      <c r="L376" s="92">
        <f t="shared" si="434"/>
        <v>0</v>
      </c>
      <c r="M376" s="93">
        <f t="shared" si="435"/>
        <v>0</v>
      </c>
      <c r="N376" s="94">
        <f t="shared" si="436"/>
        <v>0</v>
      </c>
      <c r="O376" s="94">
        <f t="shared" si="437"/>
        <v>0</v>
      </c>
      <c r="P376" s="92">
        <f t="shared" si="438"/>
        <v>0</v>
      </c>
      <c r="Q376" s="95">
        <f t="shared" si="439"/>
        <v>0</v>
      </c>
      <c r="R376" s="116"/>
    </row>
    <row r="377" spans="1:18" x14ac:dyDescent="0.3">
      <c r="A377" s="83" t="str">
        <f>IF(TRIM(H377)&lt;&gt;"",COUNTA(H$9:$H377)&amp;"","")</f>
        <v>249</v>
      </c>
      <c r="B377" s="84"/>
      <c r="C377" s="84"/>
      <c r="D377" s="85"/>
      <c r="E377" s="97" t="s">
        <v>605</v>
      </c>
      <c r="F377" s="87">
        <v>31.78</v>
      </c>
      <c r="H377" s="88" t="s">
        <v>175</v>
      </c>
      <c r="I377" s="89">
        <v>0.05</v>
      </c>
      <c r="J377" s="90">
        <f t="shared" si="432"/>
        <v>33.369</v>
      </c>
      <c r="K377" s="91">
        <f t="shared" si="433"/>
        <v>0</v>
      </c>
      <c r="L377" s="92">
        <f t="shared" si="434"/>
        <v>0</v>
      </c>
      <c r="M377" s="93">
        <f t="shared" si="435"/>
        <v>0</v>
      </c>
      <c r="N377" s="94">
        <f t="shared" si="436"/>
        <v>0</v>
      </c>
      <c r="O377" s="94">
        <f t="shared" si="437"/>
        <v>0</v>
      </c>
      <c r="P377" s="92">
        <f t="shared" si="438"/>
        <v>0</v>
      </c>
      <c r="Q377" s="95">
        <f t="shared" si="439"/>
        <v>0</v>
      </c>
      <c r="R377" s="116"/>
    </row>
    <row r="378" spans="1:18" x14ac:dyDescent="0.3">
      <c r="A378" s="83" t="str">
        <f>IF(TRIM(H378)&lt;&gt;"",COUNTA(H$9:$H378)&amp;"","")</f>
        <v>250</v>
      </c>
      <c r="B378" s="84"/>
      <c r="C378" s="84"/>
      <c r="D378" s="85"/>
      <c r="E378" s="97" t="s">
        <v>606</v>
      </c>
      <c r="F378" s="87">
        <v>12.73</v>
      </c>
      <c r="H378" s="88" t="s">
        <v>175</v>
      </c>
      <c r="I378" s="89">
        <v>0.05</v>
      </c>
      <c r="J378" s="90">
        <f t="shared" si="432"/>
        <v>13.3665</v>
      </c>
      <c r="K378" s="91">
        <f t="shared" si="433"/>
        <v>0</v>
      </c>
      <c r="L378" s="92">
        <f t="shared" si="434"/>
        <v>0</v>
      </c>
      <c r="M378" s="93">
        <f t="shared" si="435"/>
        <v>0</v>
      </c>
      <c r="N378" s="94">
        <f t="shared" si="436"/>
        <v>0</v>
      </c>
      <c r="O378" s="94">
        <f t="shared" si="437"/>
        <v>0</v>
      </c>
      <c r="P378" s="92">
        <f t="shared" si="438"/>
        <v>0</v>
      </c>
      <c r="Q378" s="95">
        <f t="shared" si="439"/>
        <v>0</v>
      </c>
      <c r="R378" s="116"/>
    </row>
    <row r="379" spans="1:18" x14ac:dyDescent="0.3">
      <c r="A379" s="83" t="str">
        <f>IF(TRIM(H379)&lt;&gt;"",COUNTA(H$9:$H379)&amp;"","")</f>
        <v>251</v>
      </c>
      <c r="B379" s="84"/>
      <c r="C379" s="84"/>
      <c r="D379" s="85"/>
      <c r="E379" s="97" t="s">
        <v>607</v>
      </c>
      <c r="F379" s="87">
        <v>16.920000000000002</v>
      </c>
      <c r="H379" s="88" t="s">
        <v>175</v>
      </c>
      <c r="I379" s="89">
        <v>0.05</v>
      </c>
      <c r="J379" s="90">
        <f t="shared" si="432"/>
        <v>17.766000000000002</v>
      </c>
      <c r="K379" s="91">
        <f t="shared" si="433"/>
        <v>0</v>
      </c>
      <c r="L379" s="92">
        <f t="shared" si="434"/>
        <v>0</v>
      </c>
      <c r="M379" s="93">
        <f t="shared" si="435"/>
        <v>0</v>
      </c>
      <c r="N379" s="94">
        <f t="shared" si="436"/>
        <v>0</v>
      </c>
      <c r="O379" s="94">
        <f t="shared" si="437"/>
        <v>0</v>
      </c>
      <c r="P379" s="92">
        <f t="shared" si="438"/>
        <v>0</v>
      </c>
      <c r="Q379" s="95">
        <f t="shared" si="439"/>
        <v>0</v>
      </c>
      <c r="R379" s="116"/>
    </row>
    <row r="380" spans="1:18" x14ac:dyDescent="0.3">
      <c r="A380" s="83" t="str">
        <f>IF(TRIM(H380)&lt;&gt;"",COUNTA(H$9:$H380)&amp;"","")</f>
        <v>252</v>
      </c>
      <c r="B380" s="84"/>
      <c r="C380" s="84"/>
      <c r="D380" s="85"/>
      <c r="E380" s="97" t="s">
        <v>608</v>
      </c>
      <c r="F380" s="87">
        <v>6.13</v>
      </c>
      <c r="H380" s="88" t="s">
        <v>175</v>
      </c>
      <c r="I380" s="89">
        <v>0.05</v>
      </c>
      <c r="J380" s="90">
        <f t="shared" si="432"/>
        <v>6.4364999999999997</v>
      </c>
      <c r="K380" s="91">
        <f t="shared" si="433"/>
        <v>0</v>
      </c>
      <c r="L380" s="92">
        <f t="shared" si="434"/>
        <v>0</v>
      </c>
      <c r="M380" s="93">
        <f t="shared" si="435"/>
        <v>0</v>
      </c>
      <c r="N380" s="94">
        <f t="shared" si="436"/>
        <v>0</v>
      </c>
      <c r="O380" s="94">
        <f t="shared" si="437"/>
        <v>0</v>
      </c>
      <c r="P380" s="92">
        <f t="shared" si="438"/>
        <v>0</v>
      </c>
      <c r="Q380" s="95">
        <f t="shared" si="439"/>
        <v>0</v>
      </c>
      <c r="R380" s="116"/>
    </row>
    <row r="381" spans="1:18" x14ac:dyDescent="0.3">
      <c r="A381" s="83" t="str">
        <f>IF(TRIM(H381)&lt;&gt;"",COUNTA(H$9:$H381)&amp;"","")</f>
        <v>253</v>
      </c>
      <c r="B381" s="84"/>
      <c r="C381" s="84"/>
      <c r="D381" s="85"/>
      <c r="E381" s="97" t="s">
        <v>609</v>
      </c>
      <c r="F381" s="87">
        <v>44.25</v>
      </c>
      <c r="H381" s="88" t="s">
        <v>175</v>
      </c>
      <c r="I381" s="89">
        <v>0.05</v>
      </c>
      <c r="J381" s="90">
        <f t="shared" si="432"/>
        <v>46.462499999999999</v>
      </c>
      <c r="K381" s="91">
        <f t="shared" si="433"/>
        <v>0</v>
      </c>
      <c r="L381" s="92">
        <f t="shared" si="434"/>
        <v>0</v>
      </c>
      <c r="M381" s="93">
        <f t="shared" si="435"/>
        <v>0</v>
      </c>
      <c r="N381" s="94">
        <f t="shared" si="436"/>
        <v>0</v>
      </c>
      <c r="O381" s="94">
        <f t="shared" si="437"/>
        <v>0</v>
      </c>
      <c r="P381" s="92">
        <f t="shared" si="438"/>
        <v>0</v>
      </c>
      <c r="Q381" s="95">
        <f t="shared" si="439"/>
        <v>0</v>
      </c>
      <c r="R381" s="116"/>
    </row>
    <row r="382" spans="1:18" x14ac:dyDescent="0.3">
      <c r="A382" s="83" t="str">
        <f>IF(TRIM(H382)&lt;&gt;"",COUNTA(H$9:$H382)&amp;"","")</f>
        <v>254</v>
      </c>
      <c r="B382" s="84"/>
      <c r="C382" s="84"/>
      <c r="D382" s="85"/>
      <c r="E382" s="97" t="s">
        <v>610</v>
      </c>
      <c r="F382" s="87">
        <v>54</v>
      </c>
      <c r="H382" s="88" t="s">
        <v>175</v>
      </c>
      <c r="I382" s="89">
        <v>0.05</v>
      </c>
      <c r="J382" s="90">
        <f t="shared" si="432"/>
        <v>56.7</v>
      </c>
      <c r="K382" s="91">
        <f t="shared" si="433"/>
        <v>0</v>
      </c>
      <c r="L382" s="92">
        <f t="shared" si="434"/>
        <v>0</v>
      </c>
      <c r="M382" s="93">
        <f t="shared" si="435"/>
        <v>0</v>
      </c>
      <c r="N382" s="94">
        <f t="shared" si="436"/>
        <v>0</v>
      </c>
      <c r="O382" s="94">
        <f t="shared" si="437"/>
        <v>0</v>
      </c>
      <c r="P382" s="92">
        <f t="shared" si="438"/>
        <v>0</v>
      </c>
      <c r="Q382" s="95">
        <f t="shared" si="439"/>
        <v>0</v>
      </c>
      <c r="R382" s="116"/>
    </row>
    <row r="383" spans="1:18" x14ac:dyDescent="0.3">
      <c r="A383" s="83"/>
      <c r="B383" s="84"/>
      <c r="C383" s="84"/>
      <c r="D383" s="85"/>
      <c r="E383" s="150" t="s">
        <v>611</v>
      </c>
      <c r="F383" s="87"/>
      <c r="H383" s="88"/>
      <c r="I383" s="89"/>
      <c r="J383" s="90"/>
      <c r="K383" s="91"/>
      <c r="L383" s="92"/>
      <c r="M383" s="93"/>
      <c r="N383" s="94"/>
      <c r="O383" s="94"/>
      <c r="P383" s="92"/>
      <c r="Q383" s="95"/>
      <c r="R383" s="116"/>
    </row>
    <row r="384" spans="1:18" x14ac:dyDescent="0.3">
      <c r="A384" s="83" t="str">
        <f>IF(TRIM(H384)&lt;&gt;"",COUNTA(H$9:$H384)&amp;"","")</f>
        <v/>
      </c>
      <c r="B384" s="84"/>
      <c r="C384" s="84"/>
      <c r="D384" s="85"/>
      <c r="E384" s="97"/>
      <c r="F384" s="87"/>
      <c r="H384" s="88"/>
      <c r="I384" s="89" t="str">
        <f t="shared" ref="I384:I405" si="440">IF(F384=0,"",0)</f>
        <v/>
      </c>
      <c r="J384" s="90" t="str">
        <f t="shared" ref="J384:J405" si="441">IF(F384=0,"",F384+(F384*I384))</f>
        <v/>
      </c>
      <c r="K384" s="91" t="str">
        <f t="shared" ref="K384:K405" si="442">IF(F384=0,"",0)</f>
        <v/>
      </c>
      <c r="L384" s="92" t="str">
        <f t="shared" ref="L384:L405" si="443">IF(F384=0,"",K384*J384)</f>
        <v/>
      </c>
      <c r="M384" s="93" t="str">
        <f t="shared" ref="M384:M405" si="444">IF(F384=0,"",M$7)</f>
        <v/>
      </c>
      <c r="N384" s="94" t="str">
        <f t="shared" ref="N384:N405" si="445">IF(F384=0,"",0)</f>
        <v/>
      </c>
      <c r="O384" s="94" t="str">
        <f t="shared" ref="O384:O405" si="446">IF(F384=0,"",N384*J384)</f>
        <v/>
      </c>
      <c r="P384" s="92" t="str">
        <f t="shared" ref="P384:P405" si="447">IF(F384=0,"",O384*M384)</f>
        <v/>
      </c>
      <c r="Q384" s="95" t="str">
        <f t="shared" ref="Q384:Q405" si="448">IF(F384=0,"",L384+P384)</f>
        <v/>
      </c>
      <c r="R384" s="116"/>
    </row>
    <row r="385" spans="1:18" x14ac:dyDescent="0.3">
      <c r="A385" s="83" t="str">
        <f>IF(TRIM(H385)&lt;&gt;"",COUNTA(H$9:$H385)&amp;"","")</f>
        <v/>
      </c>
      <c r="B385" s="84"/>
      <c r="C385" s="84"/>
      <c r="D385" s="85"/>
      <c r="E385" s="121" t="s">
        <v>612</v>
      </c>
      <c r="F385" s="87"/>
      <c r="H385" s="88"/>
      <c r="I385" s="89" t="str">
        <f t="shared" si="440"/>
        <v/>
      </c>
      <c r="J385" s="90" t="str">
        <f t="shared" si="441"/>
        <v/>
      </c>
      <c r="K385" s="91" t="str">
        <f t="shared" si="442"/>
        <v/>
      </c>
      <c r="L385" s="92" t="str">
        <f t="shared" si="443"/>
        <v/>
      </c>
      <c r="M385" s="93" t="str">
        <f t="shared" si="444"/>
        <v/>
      </c>
      <c r="N385" s="94" t="str">
        <f t="shared" si="445"/>
        <v/>
      </c>
      <c r="O385" s="94" t="str">
        <f t="shared" si="446"/>
        <v/>
      </c>
      <c r="P385" s="92" t="str">
        <f t="shared" si="447"/>
        <v/>
      </c>
      <c r="Q385" s="95" t="str">
        <f t="shared" si="448"/>
        <v/>
      </c>
      <c r="R385" s="116"/>
    </row>
    <row r="386" spans="1:18" x14ac:dyDescent="0.3">
      <c r="A386" s="83" t="str">
        <f>IF(TRIM(H386)&lt;&gt;"",COUNTA(H$9:$H386)&amp;"","")</f>
        <v>255</v>
      </c>
      <c r="B386" s="84"/>
      <c r="C386" s="84"/>
      <c r="D386" s="85"/>
      <c r="E386" s="97" t="s">
        <v>613</v>
      </c>
      <c r="F386" s="87">
        <v>1</v>
      </c>
      <c r="H386" s="88" t="s">
        <v>232</v>
      </c>
      <c r="I386" s="89">
        <v>0</v>
      </c>
      <c r="J386" s="90">
        <f t="shared" si="441"/>
        <v>1</v>
      </c>
      <c r="K386" s="91">
        <f t="shared" si="442"/>
        <v>0</v>
      </c>
      <c r="L386" s="92">
        <f t="shared" si="443"/>
        <v>0</v>
      </c>
      <c r="M386" s="93">
        <f t="shared" si="444"/>
        <v>0</v>
      </c>
      <c r="N386" s="94">
        <f t="shared" si="445"/>
        <v>0</v>
      </c>
      <c r="O386" s="94">
        <f t="shared" si="446"/>
        <v>0</v>
      </c>
      <c r="P386" s="92">
        <f t="shared" si="447"/>
        <v>0</v>
      </c>
      <c r="Q386" s="95">
        <f t="shared" si="448"/>
        <v>0</v>
      </c>
      <c r="R386" s="116"/>
    </row>
    <row r="387" spans="1:18" x14ac:dyDescent="0.3">
      <c r="A387" s="83" t="str">
        <f>IF(TRIM(H387)&lt;&gt;"",COUNTA(H$9:$H387)&amp;"","")</f>
        <v>256</v>
      </c>
      <c r="B387" s="84"/>
      <c r="C387" s="84"/>
      <c r="D387" s="85"/>
      <c r="E387" s="97" t="s">
        <v>614</v>
      </c>
      <c r="F387" s="87">
        <v>2</v>
      </c>
      <c r="H387" s="88" t="s">
        <v>232</v>
      </c>
      <c r="I387" s="89">
        <v>0</v>
      </c>
      <c r="J387" s="90">
        <f t="shared" si="441"/>
        <v>2</v>
      </c>
      <c r="K387" s="91">
        <f t="shared" si="442"/>
        <v>0</v>
      </c>
      <c r="L387" s="92">
        <f t="shared" si="443"/>
        <v>0</v>
      </c>
      <c r="M387" s="93">
        <f t="shared" si="444"/>
        <v>0</v>
      </c>
      <c r="N387" s="94">
        <f t="shared" si="445"/>
        <v>0</v>
      </c>
      <c r="O387" s="94">
        <f t="shared" si="446"/>
        <v>0</v>
      </c>
      <c r="P387" s="92">
        <f t="shared" si="447"/>
        <v>0</v>
      </c>
      <c r="Q387" s="95">
        <f t="shared" si="448"/>
        <v>0</v>
      </c>
      <c r="R387" s="116"/>
    </row>
    <row r="388" spans="1:18" x14ac:dyDescent="0.3">
      <c r="A388" s="83" t="str">
        <f>IF(TRIM(H388)&lt;&gt;"",COUNTA(H$9:$H388)&amp;"","")</f>
        <v>257</v>
      </c>
      <c r="B388" s="84"/>
      <c r="C388" s="84"/>
      <c r="D388" s="85"/>
      <c r="E388" s="97" t="s">
        <v>615</v>
      </c>
      <c r="F388" s="87">
        <v>1</v>
      </c>
      <c r="H388" s="88" t="s">
        <v>232</v>
      </c>
      <c r="I388" s="89">
        <v>0</v>
      </c>
      <c r="J388" s="90">
        <f t="shared" si="441"/>
        <v>1</v>
      </c>
      <c r="K388" s="91">
        <f t="shared" si="442"/>
        <v>0</v>
      </c>
      <c r="L388" s="92">
        <f t="shared" si="443"/>
        <v>0</v>
      </c>
      <c r="M388" s="93">
        <f t="shared" si="444"/>
        <v>0</v>
      </c>
      <c r="N388" s="94">
        <f t="shared" si="445"/>
        <v>0</v>
      </c>
      <c r="O388" s="94">
        <f t="shared" si="446"/>
        <v>0</v>
      </c>
      <c r="P388" s="92">
        <f t="shared" si="447"/>
        <v>0</v>
      </c>
      <c r="Q388" s="95">
        <f t="shared" si="448"/>
        <v>0</v>
      </c>
      <c r="R388" s="116"/>
    </row>
    <row r="389" spans="1:18" x14ac:dyDescent="0.3">
      <c r="A389" s="83" t="str">
        <f>IF(TRIM(H389)&lt;&gt;"",COUNTA(H$9:$H389)&amp;"","")</f>
        <v>258</v>
      </c>
      <c r="B389" s="84"/>
      <c r="C389" s="84"/>
      <c r="D389" s="85"/>
      <c r="E389" s="97" t="s">
        <v>616</v>
      </c>
      <c r="F389" s="87">
        <v>6</v>
      </c>
      <c r="H389" s="88" t="s">
        <v>232</v>
      </c>
      <c r="I389" s="89">
        <v>0</v>
      </c>
      <c r="J389" s="90">
        <f t="shared" si="441"/>
        <v>6</v>
      </c>
      <c r="K389" s="91">
        <f t="shared" si="442"/>
        <v>0</v>
      </c>
      <c r="L389" s="92">
        <f t="shared" si="443"/>
        <v>0</v>
      </c>
      <c r="M389" s="93">
        <f t="shared" si="444"/>
        <v>0</v>
      </c>
      <c r="N389" s="94">
        <f t="shared" si="445"/>
        <v>0</v>
      </c>
      <c r="O389" s="94">
        <f t="shared" si="446"/>
        <v>0</v>
      </c>
      <c r="P389" s="92">
        <f t="shared" si="447"/>
        <v>0</v>
      </c>
      <c r="Q389" s="95">
        <f t="shared" si="448"/>
        <v>0</v>
      </c>
      <c r="R389" s="116"/>
    </row>
    <row r="390" spans="1:18" x14ac:dyDescent="0.3">
      <c r="A390" s="83" t="str">
        <f>IF(TRIM(H390)&lt;&gt;"",COUNTA(H$9:$H390)&amp;"","")</f>
        <v>259</v>
      </c>
      <c r="B390" s="84"/>
      <c r="C390" s="84"/>
      <c r="D390" s="85"/>
      <c r="E390" s="97" t="s">
        <v>617</v>
      </c>
      <c r="F390" s="87">
        <v>2</v>
      </c>
      <c r="H390" s="88" t="s">
        <v>232</v>
      </c>
      <c r="I390" s="89">
        <v>0</v>
      </c>
      <c r="J390" s="90">
        <f t="shared" si="441"/>
        <v>2</v>
      </c>
      <c r="K390" s="91">
        <f t="shared" si="442"/>
        <v>0</v>
      </c>
      <c r="L390" s="92">
        <f t="shared" si="443"/>
        <v>0</v>
      </c>
      <c r="M390" s="93">
        <f t="shared" si="444"/>
        <v>0</v>
      </c>
      <c r="N390" s="94">
        <f t="shared" si="445"/>
        <v>0</v>
      </c>
      <c r="O390" s="94">
        <f t="shared" si="446"/>
        <v>0</v>
      </c>
      <c r="P390" s="92">
        <f t="shared" si="447"/>
        <v>0</v>
      </c>
      <c r="Q390" s="95">
        <f t="shared" si="448"/>
        <v>0</v>
      </c>
      <c r="R390" s="116"/>
    </row>
    <row r="391" spans="1:18" x14ac:dyDescent="0.3">
      <c r="A391" s="83" t="str">
        <f>IF(TRIM(H391)&lt;&gt;"",COUNTA(H$9:$H391)&amp;"","")</f>
        <v>260</v>
      </c>
      <c r="B391" s="84"/>
      <c r="C391" s="84"/>
      <c r="D391" s="85"/>
      <c r="E391" s="97" t="s">
        <v>618</v>
      </c>
      <c r="F391" s="87">
        <v>3</v>
      </c>
      <c r="H391" s="88" t="s">
        <v>232</v>
      </c>
      <c r="I391" s="89">
        <v>0</v>
      </c>
      <c r="J391" s="90">
        <f t="shared" si="441"/>
        <v>3</v>
      </c>
      <c r="K391" s="91">
        <f t="shared" si="442"/>
        <v>0</v>
      </c>
      <c r="L391" s="92">
        <f t="shared" si="443"/>
        <v>0</v>
      </c>
      <c r="M391" s="93">
        <f t="shared" si="444"/>
        <v>0</v>
      </c>
      <c r="N391" s="94">
        <f t="shared" si="445"/>
        <v>0</v>
      </c>
      <c r="O391" s="94">
        <f t="shared" si="446"/>
        <v>0</v>
      </c>
      <c r="P391" s="92">
        <f t="shared" si="447"/>
        <v>0</v>
      </c>
      <c r="Q391" s="95">
        <f t="shared" si="448"/>
        <v>0</v>
      </c>
      <c r="R391" s="116"/>
    </row>
    <row r="392" spans="1:18" x14ac:dyDescent="0.3">
      <c r="A392" s="83" t="str">
        <f>IF(TRIM(H392)&lt;&gt;"",COUNTA(H$9:$H392)&amp;"","")</f>
        <v>261</v>
      </c>
      <c r="B392" s="84"/>
      <c r="C392" s="84"/>
      <c r="D392" s="85"/>
      <c r="E392" s="97" t="s">
        <v>619</v>
      </c>
      <c r="F392" s="87">
        <v>6</v>
      </c>
      <c r="H392" s="88" t="s">
        <v>232</v>
      </c>
      <c r="I392" s="89">
        <v>0</v>
      </c>
      <c r="J392" s="90">
        <f t="shared" si="441"/>
        <v>6</v>
      </c>
      <c r="K392" s="91">
        <f t="shared" si="442"/>
        <v>0</v>
      </c>
      <c r="L392" s="92">
        <f t="shared" si="443"/>
        <v>0</v>
      </c>
      <c r="M392" s="93">
        <f t="shared" si="444"/>
        <v>0</v>
      </c>
      <c r="N392" s="94">
        <f t="shared" si="445"/>
        <v>0</v>
      </c>
      <c r="O392" s="94">
        <f t="shared" si="446"/>
        <v>0</v>
      </c>
      <c r="P392" s="92">
        <f t="shared" si="447"/>
        <v>0</v>
      </c>
      <c r="Q392" s="95">
        <f t="shared" si="448"/>
        <v>0</v>
      </c>
      <c r="R392" s="116"/>
    </row>
    <row r="393" spans="1:18" x14ac:dyDescent="0.3">
      <c r="A393" s="83" t="str">
        <f>IF(TRIM(H393)&lt;&gt;"",COUNTA(H$9:$H393)&amp;"","")</f>
        <v>262</v>
      </c>
      <c r="B393" s="84"/>
      <c r="C393" s="84"/>
      <c r="D393" s="85"/>
      <c r="E393" s="97" t="s">
        <v>620</v>
      </c>
      <c r="F393" s="87">
        <v>1</v>
      </c>
      <c r="H393" s="88" t="s">
        <v>232</v>
      </c>
      <c r="I393" s="89">
        <v>0</v>
      </c>
      <c r="J393" s="90">
        <f t="shared" si="441"/>
        <v>1</v>
      </c>
      <c r="K393" s="91">
        <f t="shared" si="442"/>
        <v>0</v>
      </c>
      <c r="L393" s="92">
        <f t="shared" si="443"/>
        <v>0</v>
      </c>
      <c r="M393" s="93">
        <f t="shared" si="444"/>
        <v>0</v>
      </c>
      <c r="N393" s="94">
        <f t="shared" si="445"/>
        <v>0</v>
      </c>
      <c r="O393" s="94">
        <f t="shared" si="446"/>
        <v>0</v>
      </c>
      <c r="P393" s="92">
        <f t="shared" si="447"/>
        <v>0</v>
      </c>
      <c r="Q393" s="95">
        <f t="shared" si="448"/>
        <v>0</v>
      </c>
      <c r="R393" s="116"/>
    </row>
    <row r="394" spans="1:18" x14ac:dyDescent="0.3">
      <c r="A394" s="83" t="str">
        <f>IF(TRIM(H394)&lt;&gt;"",COUNTA(H$9:$H394)&amp;"","")</f>
        <v>263</v>
      </c>
      <c r="B394" s="84"/>
      <c r="C394" s="84"/>
      <c r="D394" s="85"/>
      <c r="E394" s="97" t="s">
        <v>621</v>
      </c>
      <c r="F394" s="87">
        <v>1</v>
      </c>
      <c r="H394" s="88" t="s">
        <v>232</v>
      </c>
      <c r="I394" s="89">
        <v>0</v>
      </c>
      <c r="J394" s="90">
        <f t="shared" si="441"/>
        <v>1</v>
      </c>
      <c r="K394" s="91">
        <f t="shared" si="442"/>
        <v>0</v>
      </c>
      <c r="L394" s="92">
        <f t="shared" si="443"/>
        <v>0</v>
      </c>
      <c r="M394" s="93">
        <f t="shared" si="444"/>
        <v>0</v>
      </c>
      <c r="N394" s="94">
        <f t="shared" si="445"/>
        <v>0</v>
      </c>
      <c r="O394" s="94">
        <f t="shared" si="446"/>
        <v>0</v>
      </c>
      <c r="P394" s="92">
        <f t="shared" si="447"/>
        <v>0</v>
      </c>
      <c r="Q394" s="95">
        <f t="shared" si="448"/>
        <v>0</v>
      </c>
      <c r="R394" s="116"/>
    </row>
    <row r="395" spans="1:18" x14ac:dyDescent="0.3">
      <c r="A395" s="83" t="str">
        <f>IF(TRIM(H395)&lt;&gt;"",COUNTA(H$9:$H395)&amp;"","")</f>
        <v>264</v>
      </c>
      <c r="B395" s="84"/>
      <c r="C395" s="84"/>
      <c r="D395" s="85"/>
      <c r="E395" s="97" t="s">
        <v>622</v>
      </c>
      <c r="F395" s="87">
        <v>1</v>
      </c>
      <c r="H395" s="88" t="s">
        <v>232</v>
      </c>
      <c r="I395" s="89">
        <v>0</v>
      </c>
      <c r="J395" s="90">
        <f t="shared" si="441"/>
        <v>1</v>
      </c>
      <c r="K395" s="91">
        <f t="shared" si="442"/>
        <v>0</v>
      </c>
      <c r="L395" s="92">
        <f t="shared" si="443"/>
        <v>0</v>
      </c>
      <c r="M395" s="93">
        <f t="shared" si="444"/>
        <v>0</v>
      </c>
      <c r="N395" s="94">
        <f t="shared" si="445"/>
        <v>0</v>
      </c>
      <c r="O395" s="94">
        <f t="shared" si="446"/>
        <v>0</v>
      </c>
      <c r="P395" s="92">
        <f t="shared" si="447"/>
        <v>0</v>
      </c>
      <c r="Q395" s="95">
        <f t="shared" si="448"/>
        <v>0</v>
      </c>
      <c r="R395" s="116"/>
    </row>
    <row r="396" spans="1:18" x14ac:dyDescent="0.3">
      <c r="A396" s="83" t="str">
        <f>IF(TRIM(H396)&lt;&gt;"",COUNTA(H$9:$H396)&amp;"","")</f>
        <v>265</v>
      </c>
      <c r="B396" s="84"/>
      <c r="C396" s="84"/>
      <c r="D396" s="85"/>
      <c r="E396" s="97" t="s">
        <v>623</v>
      </c>
      <c r="F396" s="87">
        <v>1</v>
      </c>
      <c r="H396" s="88" t="s">
        <v>232</v>
      </c>
      <c r="I396" s="89">
        <v>0</v>
      </c>
      <c r="J396" s="90">
        <f t="shared" si="441"/>
        <v>1</v>
      </c>
      <c r="K396" s="91">
        <f t="shared" si="442"/>
        <v>0</v>
      </c>
      <c r="L396" s="92">
        <f t="shared" si="443"/>
        <v>0</v>
      </c>
      <c r="M396" s="93">
        <f t="shared" si="444"/>
        <v>0</v>
      </c>
      <c r="N396" s="94">
        <f t="shared" si="445"/>
        <v>0</v>
      </c>
      <c r="O396" s="94">
        <f t="shared" si="446"/>
        <v>0</v>
      </c>
      <c r="P396" s="92">
        <f t="shared" si="447"/>
        <v>0</v>
      </c>
      <c r="Q396" s="95">
        <f t="shared" si="448"/>
        <v>0</v>
      </c>
      <c r="R396" s="116"/>
    </row>
    <row r="397" spans="1:18" x14ac:dyDescent="0.3">
      <c r="A397" s="83" t="str">
        <f>IF(TRIM(H397)&lt;&gt;"",COUNTA(H$9:$H397)&amp;"","")</f>
        <v>266</v>
      </c>
      <c r="B397" s="84"/>
      <c r="C397" s="84"/>
      <c r="D397" s="85"/>
      <c r="E397" s="97" t="s">
        <v>624</v>
      </c>
      <c r="F397" s="87">
        <v>1</v>
      </c>
      <c r="H397" s="88" t="s">
        <v>232</v>
      </c>
      <c r="I397" s="89">
        <v>0</v>
      </c>
      <c r="J397" s="90">
        <f t="shared" si="441"/>
        <v>1</v>
      </c>
      <c r="K397" s="91">
        <f t="shared" si="442"/>
        <v>0</v>
      </c>
      <c r="L397" s="92">
        <f t="shared" si="443"/>
        <v>0</v>
      </c>
      <c r="M397" s="93">
        <f t="shared" si="444"/>
        <v>0</v>
      </c>
      <c r="N397" s="94">
        <f t="shared" si="445"/>
        <v>0</v>
      </c>
      <c r="O397" s="94">
        <f t="shared" si="446"/>
        <v>0</v>
      </c>
      <c r="P397" s="92">
        <f t="shared" si="447"/>
        <v>0</v>
      </c>
      <c r="Q397" s="95">
        <f t="shared" si="448"/>
        <v>0</v>
      </c>
      <c r="R397" s="116"/>
    </row>
    <row r="398" spans="1:18" x14ac:dyDescent="0.3">
      <c r="A398" s="83" t="str">
        <f>IF(TRIM(H398)&lt;&gt;"",COUNTA(H$9:$H398)&amp;"","")</f>
        <v>267</v>
      </c>
      <c r="B398" s="84"/>
      <c r="C398" s="84"/>
      <c r="D398" s="85"/>
      <c r="E398" s="97" t="s">
        <v>625</v>
      </c>
      <c r="F398" s="87">
        <v>1</v>
      </c>
      <c r="H398" s="88" t="s">
        <v>232</v>
      </c>
      <c r="I398" s="89">
        <v>0</v>
      </c>
      <c r="J398" s="90">
        <f t="shared" si="441"/>
        <v>1</v>
      </c>
      <c r="K398" s="91">
        <f t="shared" si="442"/>
        <v>0</v>
      </c>
      <c r="L398" s="92">
        <f t="shared" si="443"/>
        <v>0</v>
      </c>
      <c r="M398" s="93">
        <f t="shared" si="444"/>
        <v>0</v>
      </c>
      <c r="N398" s="94">
        <f t="shared" si="445"/>
        <v>0</v>
      </c>
      <c r="O398" s="94">
        <f t="shared" si="446"/>
        <v>0</v>
      </c>
      <c r="P398" s="92">
        <f t="shared" si="447"/>
        <v>0</v>
      </c>
      <c r="Q398" s="95">
        <f t="shared" si="448"/>
        <v>0</v>
      </c>
      <c r="R398" s="116"/>
    </row>
    <row r="399" spans="1:18" x14ac:dyDescent="0.3">
      <c r="A399" s="83" t="str">
        <f>IF(TRIM(H399)&lt;&gt;"",COUNTA(H$9:$H399)&amp;"","")</f>
        <v>268</v>
      </c>
      <c r="B399" s="84"/>
      <c r="C399" s="84"/>
      <c r="D399" s="85"/>
      <c r="E399" s="97" t="s">
        <v>626</v>
      </c>
      <c r="F399" s="87">
        <v>1</v>
      </c>
      <c r="H399" s="88" t="s">
        <v>232</v>
      </c>
      <c r="I399" s="89">
        <v>0</v>
      </c>
      <c r="J399" s="90">
        <f t="shared" si="441"/>
        <v>1</v>
      </c>
      <c r="K399" s="91">
        <f t="shared" si="442"/>
        <v>0</v>
      </c>
      <c r="L399" s="92">
        <f t="shared" si="443"/>
        <v>0</v>
      </c>
      <c r="M399" s="93">
        <f t="shared" si="444"/>
        <v>0</v>
      </c>
      <c r="N399" s="94">
        <f t="shared" si="445"/>
        <v>0</v>
      </c>
      <c r="O399" s="94">
        <f t="shared" si="446"/>
        <v>0</v>
      </c>
      <c r="P399" s="92">
        <f t="shared" si="447"/>
        <v>0</v>
      </c>
      <c r="Q399" s="95">
        <f t="shared" si="448"/>
        <v>0</v>
      </c>
      <c r="R399" s="116"/>
    </row>
    <row r="400" spans="1:18" x14ac:dyDescent="0.3">
      <c r="A400" s="83" t="str">
        <f>IF(TRIM(H400)&lt;&gt;"",COUNTA(H$9:$H400)&amp;"","")</f>
        <v>269</v>
      </c>
      <c r="B400" s="84"/>
      <c r="C400" s="84"/>
      <c r="D400" s="85"/>
      <c r="E400" s="97" t="s">
        <v>627</v>
      </c>
      <c r="F400" s="87">
        <v>1</v>
      </c>
      <c r="H400" s="88" t="s">
        <v>232</v>
      </c>
      <c r="I400" s="89">
        <v>0</v>
      </c>
      <c r="J400" s="90">
        <f t="shared" si="441"/>
        <v>1</v>
      </c>
      <c r="K400" s="91">
        <f t="shared" si="442"/>
        <v>0</v>
      </c>
      <c r="L400" s="92">
        <f t="shared" si="443"/>
        <v>0</v>
      </c>
      <c r="M400" s="93">
        <f t="shared" si="444"/>
        <v>0</v>
      </c>
      <c r="N400" s="94">
        <f t="shared" si="445"/>
        <v>0</v>
      </c>
      <c r="O400" s="94">
        <f t="shared" si="446"/>
        <v>0</v>
      </c>
      <c r="P400" s="92">
        <f t="shared" si="447"/>
        <v>0</v>
      </c>
      <c r="Q400" s="95">
        <f t="shared" si="448"/>
        <v>0</v>
      </c>
      <c r="R400" s="116"/>
    </row>
    <row r="401" spans="1:18" x14ac:dyDescent="0.3">
      <c r="A401" s="83" t="str">
        <f>IF(TRIM(H401)&lt;&gt;"",COUNTA(H$9:$H401)&amp;"","")</f>
        <v>270</v>
      </c>
      <c r="B401" s="84"/>
      <c r="C401" s="84"/>
      <c r="D401" s="85"/>
      <c r="E401" s="97" t="s">
        <v>628</v>
      </c>
      <c r="F401" s="87">
        <v>2</v>
      </c>
      <c r="H401" s="88" t="s">
        <v>232</v>
      </c>
      <c r="I401" s="89">
        <v>0</v>
      </c>
      <c r="J401" s="90">
        <f t="shared" si="441"/>
        <v>2</v>
      </c>
      <c r="K401" s="91">
        <f t="shared" si="442"/>
        <v>0</v>
      </c>
      <c r="L401" s="92">
        <f t="shared" si="443"/>
        <v>0</v>
      </c>
      <c r="M401" s="93">
        <f t="shared" si="444"/>
        <v>0</v>
      </c>
      <c r="N401" s="94">
        <f t="shared" si="445"/>
        <v>0</v>
      </c>
      <c r="O401" s="94">
        <f t="shared" si="446"/>
        <v>0</v>
      </c>
      <c r="P401" s="92">
        <f t="shared" si="447"/>
        <v>0</v>
      </c>
      <c r="Q401" s="95">
        <f t="shared" si="448"/>
        <v>0</v>
      </c>
      <c r="R401" s="116"/>
    </row>
    <row r="402" spans="1:18" x14ac:dyDescent="0.3">
      <c r="A402" s="83" t="str">
        <f>IF(TRIM(H402)&lt;&gt;"",COUNTA(H$9:$H402)&amp;"","")</f>
        <v>271</v>
      </c>
      <c r="B402" s="84"/>
      <c r="C402" s="84"/>
      <c r="D402" s="85"/>
      <c r="E402" s="97" t="s">
        <v>629</v>
      </c>
      <c r="F402" s="87">
        <v>1</v>
      </c>
      <c r="H402" s="88" t="s">
        <v>232</v>
      </c>
      <c r="I402" s="89">
        <v>0</v>
      </c>
      <c r="J402" s="90">
        <f t="shared" si="441"/>
        <v>1</v>
      </c>
      <c r="K402" s="91">
        <f t="shared" si="442"/>
        <v>0</v>
      </c>
      <c r="L402" s="92">
        <f t="shared" si="443"/>
        <v>0</v>
      </c>
      <c r="M402" s="93">
        <f t="shared" si="444"/>
        <v>0</v>
      </c>
      <c r="N402" s="94">
        <f t="shared" si="445"/>
        <v>0</v>
      </c>
      <c r="O402" s="94">
        <f t="shared" si="446"/>
        <v>0</v>
      </c>
      <c r="P402" s="92">
        <f t="shared" si="447"/>
        <v>0</v>
      </c>
      <c r="Q402" s="95">
        <f t="shared" si="448"/>
        <v>0</v>
      </c>
      <c r="R402" s="116"/>
    </row>
    <row r="403" spans="1:18" x14ac:dyDescent="0.3">
      <c r="A403" s="83" t="str">
        <f>IF(TRIM(H403)&lt;&gt;"",COUNTA(H$9:$H403)&amp;"","")</f>
        <v>272</v>
      </c>
      <c r="B403" s="84"/>
      <c r="C403" s="84"/>
      <c r="D403" s="85"/>
      <c r="E403" s="97" t="s">
        <v>630</v>
      </c>
      <c r="F403" s="87">
        <v>1</v>
      </c>
      <c r="H403" s="88" t="s">
        <v>232</v>
      </c>
      <c r="I403" s="89">
        <v>0</v>
      </c>
      <c r="J403" s="90">
        <f t="shared" si="441"/>
        <v>1</v>
      </c>
      <c r="K403" s="91">
        <f t="shared" si="442"/>
        <v>0</v>
      </c>
      <c r="L403" s="92">
        <f t="shared" si="443"/>
        <v>0</v>
      </c>
      <c r="M403" s="93">
        <f t="shared" si="444"/>
        <v>0</v>
      </c>
      <c r="N403" s="94">
        <f t="shared" si="445"/>
        <v>0</v>
      </c>
      <c r="O403" s="94">
        <f t="shared" si="446"/>
        <v>0</v>
      </c>
      <c r="P403" s="92">
        <f t="shared" si="447"/>
        <v>0</v>
      </c>
      <c r="Q403" s="95">
        <f t="shared" si="448"/>
        <v>0</v>
      </c>
      <c r="R403" s="116"/>
    </row>
    <row r="404" spans="1:18" x14ac:dyDescent="0.3">
      <c r="A404" s="83"/>
      <c r="B404" s="84"/>
      <c r="C404" s="84"/>
      <c r="D404" s="85"/>
      <c r="E404" s="151"/>
      <c r="F404" s="87"/>
      <c r="H404" s="88"/>
      <c r="I404" s="89"/>
      <c r="J404" s="90"/>
      <c r="K404" s="91"/>
      <c r="L404" s="92"/>
      <c r="M404" s="93"/>
      <c r="N404" s="94"/>
      <c r="O404" s="94"/>
      <c r="P404" s="92"/>
      <c r="Q404" s="95"/>
      <c r="R404" s="116"/>
    </row>
    <row r="405" spans="1:18" ht="15.6" x14ac:dyDescent="0.3">
      <c r="A405" s="83" t="str">
        <f>IF(TRIM(H405)&lt;&gt;"",COUNTA(H$9:$H405)&amp;"","")</f>
        <v/>
      </c>
      <c r="B405" s="84"/>
      <c r="C405" s="84"/>
      <c r="D405" s="85"/>
      <c r="E405" s="157" t="s">
        <v>631</v>
      </c>
      <c r="F405" s="87"/>
      <c r="H405" s="88"/>
      <c r="I405" s="89" t="str">
        <f t="shared" si="440"/>
        <v/>
      </c>
      <c r="J405" s="90" t="str">
        <f t="shared" si="441"/>
        <v/>
      </c>
      <c r="K405" s="91" t="str">
        <f t="shared" si="442"/>
        <v/>
      </c>
      <c r="L405" s="92" t="str">
        <f t="shared" si="443"/>
        <v/>
      </c>
      <c r="M405" s="93" t="str">
        <f t="shared" si="444"/>
        <v/>
      </c>
      <c r="N405" s="94" t="str">
        <f t="shared" si="445"/>
        <v/>
      </c>
      <c r="O405" s="94" t="str">
        <f t="shared" si="446"/>
        <v/>
      </c>
      <c r="P405" s="92" t="str">
        <f t="shared" si="447"/>
        <v/>
      </c>
      <c r="Q405" s="95" t="str">
        <f t="shared" si="448"/>
        <v/>
      </c>
      <c r="R405" s="116"/>
    </row>
    <row r="406" spans="1:18" x14ac:dyDescent="0.3">
      <c r="A406" s="83" t="str">
        <f>IF(TRIM(H406)&lt;&gt;"",COUNTA(H$9:$H406)&amp;"","")</f>
        <v>273</v>
      </c>
      <c r="B406" s="84"/>
      <c r="C406" s="84"/>
      <c r="D406" s="85"/>
      <c r="E406" s="97" t="s">
        <v>632</v>
      </c>
      <c r="F406" s="87">
        <v>30.99</v>
      </c>
      <c r="H406" s="88" t="s">
        <v>175</v>
      </c>
      <c r="I406" s="89">
        <v>0.05</v>
      </c>
      <c r="J406" s="90">
        <f t="shared" si="432"/>
        <v>32.539499999999997</v>
      </c>
      <c r="K406" s="91">
        <f t="shared" si="433"/>
        <v>0</v>
      </c>
      <c r="L406" s="92">
        <f t="shared" si="434"/>
        <v>0</v>
      </c>
      <c r="M406" s="93">
        <f t="shared" si="435"/>
        <v>0</v>
      </c>
      <c r="N406" s="94">
        <f t="shared" si="436"/>
        <v>0</v>
      </c>
      <c r="O406" s="94">
        <f t="shared" si="437"/>
        <v>0</v>
      </c>
      <c r="P406" s="92">
        <f t="shared" si="438"/>
        <v>0</v>
      </c>
      <c r="Q406" s="95">
        <f t="shared" si="439"/>
        <v>0</v>
      </c>
      <c r="R406" s="116"/>
    </row>
    <row r="407" spans="1:18" x14ac:dyDescent="0.3">
      <c r="A407" s="83" t="str">
        <f>IF(TRIM(H407)&lt;&gt;"",COUNTA(H$9:$H407)&amp;"","")</f>
        <v>274</v>
      </c>
      <c r="B407" s="84"/>
      <c r="C407" s="84"/>
      <c r="D407" s="85"/>
      <c r="E407" s="86" t="s">
        <v>633</v>
      </c>
      <c r="F407" s="87">
        <v>21.96</v>
      </c>
      <c r="H407" s="88" t="s">
        <v>175</v>
      </c>
      <c r="I407" s="89">
        <v>0.05</v>
      </c>
      <c r="J407" s="90">
        <f t="shared" si="432"/>
        <v>23.058</v>
      </c>
      <c r="K407" s="91">
        <f t="shared" si="433"/>
        <v>0</v>
      </c>
      <c r="L407" s="92">
        <f t="shared" si="434"/>
        <v>0</v>
      </c>
      <c r="M407" s="93">
        <f t="shared" si="435"/>
        <v>0</v>
      </c>
      <c r="N407" s="94">
        <f t="shared" si="436"/>
        <v>0</v>
      </c>
      <c r="O407" s="94">
        <f t="shared" si="437"/>
        <v>0</v>
      </c>
      <c r="P407" s="92">
        <f t="shared" si="438"/>
        <v>0</v>
      </c>
      <c r="Q407" s="95">
        <f t="shared" si="439"/>
        <v>0</v>
      </c>
      <c r="R407" s="116"/>
    </row>
    <row r="408" spans="1:18" x14ac:dyDescent="0.3">
      <c r="A408" s="83"/>
      <c r="B408" s="84"/>
      <c r="C408" s="84"/>
      <c r="D408" s="85"/>
      <c r="E408" s="150" t="s">
        <v>549</v>
      </c>
      <c r="F408" s="87"/>
      <c r="H408" s="88"/>
      <c r="I408" s="89"/>
      <c r="J408" s="90"/>
      <c r="K408" s="91"/>
      <c r="L408" s="92"/>
      <c r="M408" s="93"/>
      <c r="N408" s="94"/>
      <c r="O408" s="94"/>
      <c r="P408" s="92"/>
      <c r="Q408" s="95"/>
      <c r="R408" s="116"/>
    </row>
    <row r="409" spans="1:18" x14ac:dyDescent="0.3">
      <c r="A409" s="83" t="str">
        <f>IF(TRIM(H409)&lt;&gt;"",COUNTA(H$9:$H409)&amp;"","")</f>
        <v/>
      </c>
      <c r="B409" s="84"/>
      <c r="C409" s="84"/>
      <c r="D409" s="85"/>
      <c r="E409" s="97"/>
      <c r="F409" s="87"/>
      <c r="H409" s="88"/>
      <c r="I409" s="89" t="str">
        <f t="shared" si="431"/>
        <v/>
      </c>
      <c r="J409" s="90" t="str">
        <f t="shared" si="432"/>
        <v/>
      </c>
      <c r="K409" s="91" t="str">
        <f t="shared" si="433"/>
        <v/>
      </c>
      <c r="L409" s="92" t="str">
        <f t="shared" si="434"/>
        <v/>
      </c>
      <c r="M409" s="93" t="str">
        <f t="shared" si="435"/>
        <v/>
      </c>
      <c r="N409" s="94" t="str">
        <f t="shared" si="436"/>
        <v/>
      </c>
      <c r="O409" s="94" t="str">
        <f t="shared" si="437"/>
        <v/>
      </c>
      <c r="P409" s="92" t="str">
        <f t="shared" si="438"/>
        <v/>
      </c>
      <c r="Q409" s="95" t="str">
        <f t="shared" si="439"/>
        <v/>
      </c>
      <c r="R409" s="116"/>
    </row>
    <row r="410" spans="1:18" ht="15.6" x14ac:dyDescent="0.3">
      <c r="A410" s="83" t="str">
        <f>IF(TRIM(H410)&lt;&gt;"",COUNTA(H$9:$H410)&amp;"","")</f>
        <v/>
      </c>
      <c r="B410" s="84"/>
      <c r="C410" s="84"/>
      <c r="D410" s="85"/>
      <c r="E410" s="157" t="s">
        <v>165</v>
      </c>
      <c r="F410" s="87"/>
      <c r="H410" s="88"/>
      <c r="I410" s="89" t="str">
        <f t="shared" si="431"/>
        <v/>
      </c>
      <c r="J410" s="90" t="str">
        <f t="shared" si="432"/>
        <v/>
      </c>
      <c r="K410" s="91" t="str">
        <f t="shared" si="433"/>
        <v/>
      </c>
      <c r="L410" s="92" t="str">
        <f t="shared" si="434"/>
        <v/>
      </c>
      <c r="M410" s="93" t="str">
        <f t="shared" si="435"/>
        <v/>
      </c>
      <c r="N410" s="94" t="str">
        <f t="shared" si="436"/>
        <v/>
      </c>
      <c r="O410" s="94" t="str">
        <f t="shared" si="437"/>
        <v/>
      </c>
      <c r="P410" s="92" t="str">
        <f t="shared" si="438"/>
        <v/>
      </c>
      <c r="Q410" s="95" t="str">
        <f t="shared" si="439"/>
        <v/>
      </c>
      <c r="R410" s="116"/>
    </row>
    <row r="411" spans="1:18" ht="27.6" x14ac:dyDescent="0.3">
      <c r="A411" s="83" t="str">
        <f>IF(TRIM(H411)&lt;&gt;"",COUNTA(H$9:$H411)&amp;"","")</f>
        <v>275</v>
      </c>
      <c r="B411" s="84"/>
      <c r="C411" s="84"/>
      <c r="D411" s="85"/>
      <c r="E411" s="86" t="s">
        <v>765</v>
      </c>
      <c r="F411" s="87">
        <v>1631.73</v>
      </c>
      <c r="H411" s="88" t="s">
        <v>147</v>
      </c>
      <c r="I411" s="89">
        <v>0.05</v>
      </c>
      <c r="J411" s="90">
        <f t="shared" si="432"/>
        <v>1713.3164999999999</v>
      </c>
      <c r="K411" s="91">
        <f t="shared" si="433"/>
        <v>0</v>
      </c>
      <c r="L411" s="92">
        <f t="shared" si="434"/>
        <v>0</v>
      </c>
      <c r="M411" s="93">
        <f t="shared" si="435"/>
        <v>0</v>
      </c>
      <c r="N411" s="94">
        <f t="shared" si="436"/>
        <v>0</v>
      </c>
      <c r="O411" s="94">
        <f t="shared" si="437"/>
        <v>0</v>
      </c>
      <c r="P411" s="92">
        <f t="shared" si="438"/>
        <v>0</v>
      </c>
      <c r="Q411" s="95">
        <f t="shared" si="439"/>
        <v>0</v>
      </c>
      <c r="R411" s="116"/>
    </row>
    <row r="412" spans="1:18" x14ac:dyDescent="0.3">
      <c r="A412" s="83" t="str">
        <f>IF(TRIM(H412)&lt;&gt;"",COUNTA(H$9:$H412)&amp;"","")</f>
        <v/>
      </c>
      <c r="B412" s="84"/>
      <c r="C412" s="84"/>
      <c r="D412" s="85"/>
      <c r="E412" s="86"/>
      <c r="F412" s="87"/>
      <c r="H412" s="88"/>
      <c r="I412" s="89" t="str">
        <f t="shared" ref="I412:I419" si="449">IF(F412=0,"",0)</f>
        <v/>
      </c>
      <c r="J412" s="90" t="str">
        <f t="shared" si="432"/>
        <v/>
      </c>
      <c r="K412" s="91" t="str">
        <f t="shared" si="433"/>
        <v/>
      </c>
      <c r="L412" s="92" t="str">
        <f t="shared" si="434"/>
        <v/>
      </c>
      <c r="M412" s="93" t="str">
        <f t="shared" si="435"/>
        <v/>
      </c>
      <c r="N412" s="94" t="str">
        <f t="shared" si="436"/>
        <v/>
      </c>
      <c r="O412" s="94" t="str">
        <f t="shared" si="437"/>
        <v/>
      </c>
      <c r="P412" s="92" t="str">
        <f t="shared" si="438"/>
        <v/>
      </c>
      <c r="Q412" s="95" t="str">
        <f t="shared" si="439"/>
        <v/>
      </c>
      <c r="R412" s="116"/>
    </row>
    <row r="413" spans="1:18" ht="15.6" x14ac:dyDescent="0.3">
      <c r="A413" s="83" t="str">
        <f>IF(TRIM(H413)&lt;&gt;"",COUNTA(H$9:$H413)&amp;"","")</f>
        <v/>
      </c>
      <c r="B413" s="84"/>
      <c r="C413" s="84"/>
      <c r="D413" s="85"/>
      <c r="E413" s="157" t="s">
        <v>634</v>
      </c>
      <c r="F413" s="87"/>
      <c r="H413" s="88"/>
      <c r="I413" s="89" t="str">
        <f t="shared" si="449"/>
        <v/>
      </c>
      <c r="J413" s="90" t="str">
        <f t="shared" si="432"/>
        <v/>
      </c>
      <c r="K413" s="91" t="str">
        <f t="shared" si="433"/>
        <v/>
      </c>
      <c r="L413" s="92" t="str">
        <f t="shared" si="434"/>
        <v/>
      </c>
      <c r="M413" s="93" t="str">
        <f t="shared" si="435"/>
        <v/>
      </c>
      <c r="N413" s="94" t="str">
        <f t="shared" si="436"/>
        <v/>
      </c>
      <c r="O413" s="94" t="str">
        <f t="shared" si="437"/>
        <v/>
      </c>
      <c r="P413" s="92" t="str">
        <f t="shared" si="438"/>
        <v/>
      </c>
      <c r="Q413" s="95" t="str">
        <f t="shared" si="439"/>
        <v/>
      </c>
      <c r="R413" s="116"/>
    </row>
    <row r="414" spans="1:18" x14ac:dyDescent="0.3">
      <c r="A414" s="83"/>
      <c r="B414" s="84"/>
      <c r="C414" s="84"/>
      <c r="D414" s="85"/>
      <c r="E414" s="121" t="s">
        <v>635</v>
      </c>
      <c r="F414" s="87"/>
      <c r="H414" s="88"/>
      <c r="I414" s="89"/>
      <c r="J414" s="90"/>
      <c r="K414" s="91"/>
      <c r="L414" s="92"/>
      <c r="M414" s="93"/>
      <c r="N414" s="94"/>
      <c r="O414" s="94"/>
      <c r="P414" s="92"/>
      <c r="Q414" s="95"/>
      <c r="R414" s="116"/>
    </row>
    <row r="415" spans="1:18" ht="27.6" x14ac:dyDescent="0.3">
      <c r="A415" s="83" t="str">
        <f>IF(TRIM(H415)&lt;&gt;"",COUNTA(H$9:$H415)&amp;"","")</f>
        <v>276</v>
      </c>
      <c r="B415" s="84"/>
      <c r="C415" s="84"/>
      <c r="D415" s="85"/>
      <c r="E415" s="86" t="s">
        <v>766</v>
      </c>
      <c r="F415" s="87">
        <f>245/10</f>
        <v>24.5</v>
      </c>
      <c r="H415" s="88" t="s">
        <v>232</v>
      </c>
      <c r="I415" s="89">
        <f t="shared" ref="I415:I417" si="450">IF(F415=0,"",0)</f>
        <v>0</v>
      </c>
      <c r="J415" s="90">
        <f t="shared" ref="J415:J417" si="451">IF(F415=0,"",F415+(F415*I415))</f>
        <v>24.5</v>
      </c>
      <c r="K415" s="91">
        <f t="shared" ref="K415:K417" si="452">IF(F415=0,"",0)</f>
        <v>0</v>
      </c>
      <c r="L415" s="92">
        <f t="shared" ref="L415:L417" si="453">IF(F415=0,"",K415*J415)</f>
        <v>0</v>
      </c>
      <c r="M415" s="93">
        <f t="shared" ref="M415:M417" si="454">IF(F415=0,"",M$7)</f>
        <v>0</v>
      </c>
      <c r="N415" s="94">
        <f t="shared" ref="N415:N417" si="455">IF(F415=0,"",0)</f>
        <v>0</v>
      </c>
      <c r="O415" s="94">
        <f t="shared" ref="O415:O417" si="456">IF(F415=0,"",N415*J415)</f>
        <v>0</v>
      </c>
      <c r="P415" s="92">
        <f t="shared" ref="P415:P417" si="457">IF(F415=0,"",O415*M415)</f>
        <v>0</v>
      </c>
      <c r="Q415" s="95">
        <f t="shared" ref="Q415:Q417" si="458">IF(F415=0,"",L415+P415)</f>
        <v>0</v>
      </c>
      <c r="R415" s="116"/>
    </row>
    <row r="416" spans="1:18" x14ac:dyDescent="0.3">
      <c r="A416" s="83" t="str">
        <f>IF(TRIM(H416)&lt;&gt;"",COUNTA(H$9:$H416)&amp;"","")</f>
        <v>277</v>
      </c>
      <c r="B416" s="84"/>
      <c r="C416" s="84"/>
      <c r="D416" s="85"/>
      <c r="E416" s="86" t="s">
        <v>636</v>
      </c>
      <c r="F416" s="87">
        <v>30</v>
      </c>
      <c r="H416" s="88" t="s">
        <v>232</v>
      </c>
      <c r="I416" s="89">
        <f t="shared" si="450"/>
        <v>0</v>
      </c>
      <c r="J416" s="90">
        <f t="shared" si="451"/>
        <v>30</v>
      </c>
      <c r="K416" s="91">
        <f t="shared" si="452"/>
        <v>0</v>
      </c>
      <c r="L416" s="92">
        <f t="shared" si="453"/>
        <v>0</v>
      </c>
      <c r="M416" s="93">
        <f t="shared" si="454"/>
        <v>0</v>
      </c>
      <c r="N416" s="94">
        <f t="shared" si="455"/>
        <v>0</v>
      </c>
      <c r="O416" s="94">
        <f t="shared" si="456"/>
        <v>0</v>
      </c>
      <c r="P416" s="92">
        <f t="shared" si="457"/>
        <v>0</v>
      </c>
      <c r="Q416" s="95">
        <f t="shared" si="458"/>
        <v>0</v>
      </c>
      <c r="R416" s="116"/>
    </row>
    <row r="417" spans="1:18" x14ac:dyDescent="0.3">
      <c r="A417" s="83" t="str">
        <f>IF(TRIM(H417)&lt;&gt;"",COUNTA(H$9:$H417)&amp;"","")</f>
        <v/>
      </c>
      <c r="B417" s="84"/>
      <c r="C417" s="84"/>
      <c r="D417" s="85"/>
      <c r="E417" s="86"/>
      <c r="F417" s="87"/>
      <c r="H417" s="88"/>
      <c r="I417" s="89" t="str">
        <f t="shared" si="450"/>
        <v/>
      </c>
      <c r="J417" s="90" t="str">
        <f t="shared" si="451"/>
        <v/>
      </c>
      <c r="K417" s="91" t="str">
        <f t="shared" si="452"/>
        <v/>
      </c>
      <c r="L417" s="92" t="str">
        <f t="shared" si="453"/>
        <v/>
      </c>
      <c r="M417" s="93" t="str">
        <f t="shared" si="454"/>
        <v/>
      </c>
      <c r="N417" s="94" t="str">
        <f t="shared" si="455"/>
        <v/>
      </c>
      <c r="O417" s="94" t="str">
        <f t="shared" si="456"/>
        <v/>
      </c>
      <c r="P417" s="92" t="str">
        <f t="shared" si="457"/>
        <v/>
      </c>
      <c r="Q417" s="95" t="str">
        <f t="shared" si="458"/>
        <v/>
      </c>
      <c r="R417" s="116"/>
    </row>
    <row r="418" spans="1:18" x14ac:dyDescent="0.3">
      <c r="A418" s="83" t="str">
        <f>IF(TRIM(H418)&lt;&gt;"",COUNTA(H$9:$H418)&amp;"","")</f>
        <v/>
      </c>
      <c r="B418" s="84"/>
      <c r="C418" s="84"/>
      <c r="D418" s="85"/>
      <c r="E418" s="121" t="s">
        <v>637</v>
      </c>
      <c r="F418" s="87"/>
      <c r="H418" s="88"/>
      <c r="I418" s="89" t="str">
        <f t="shared" si="449"/>
        <v/>
      </c>
      <c r="J418" s="90" t="str">
        <f t="shared" si="432"/>
        <v/>
      </c>
      <c r="K418" s="91" t="str">
        <f t="shared" si="433"/>
        <v/>
      </c>
      <c r="L418" s="92" t="str">
        <f t="shared" si="434"/>
        <v/>
      </c>
      <c r="M418" s="93" t="str">
        <f t="shared" si="435"/>
        <v/>
      </c>
      <c r="N418" s="94" t="str">
        <f t="shared" si="436"/>
        <v/>
      </c>
      <c r="O418" s="94" t="str">
        <f t="shared" si="437"/>
        <v/>
      </c>
      <c r="P418" s="92" t="str">
        <f t="shared" si="438"/>
        <v/>
      </c>
      <c r="Q418" s="95" t="str">
        <f t="shared" si="439"/>
        <v/>
      </c>
      <c r="R418" s="116"/>
    </row>
    <row r="419" spans="1:18" ht="41.4" x14ac:dyDescent="0.3">
      <c r="A419" s="83" t="str">
        <f>IF(TRIM(H419)&lt;&gt;"",COUNTA(H$9:$H419)&amp;"","")</f>
        <v>278</v>
      </c>
      <c r="B419" s="84"/>
      <c r="C419" s="84"/>
      <c r="D419" s="85"/>
      <c r="E419" s="97" t="s">
        <v>589</v>
      </c>
      <c r="F419" s="87">
        <f>53/10</f>
        <v>5.3</v>
      </c>
      <c r="H419" s="88" t="s">
        <v>175</v>
      </c>
      <c r="I419" s="89">
        <f t="shared" si="449"/>
        <v>0</v>
      </c>
      <c r="J419" s="90">
        <f t="shared" si="432"/>
        <v>5.3</v>
      </c>
      <c r="K419" s="91">
        <f t="shared" si="433"/>
        <v>0</v>
      </c>
      <c r="L419" s="92">
        <f t="shared" si="434"/>
        <v>0</v>
      </c>
      <c r="M419" s="93">
        <f t="shared" si="435"/>
        <v>0</v>
      </c>
      <c r="N419" s="94">
        <f t="shared" si="436"/>
        <v>0</v>
      </c>
      <c r="O419" s="94">
        <f t="shared" si="437"/>
        <v>0</v>
      </c>
      <c r="P419" s="92">
        <f t="shared" si="438"/>
        <v>0</v>
      </c>
      <c r="Q419" s="95">
        <f t="shared" si="439"/>
        <v>0</v>
      </c>
      <c r="R419" s="116"/>
    </row>
    <row r="420" spans="1:18" x14ac:dyDescent="0.3">
      <c r="A420" s="83" t="str">
        <f>IF(TRIM(H420)&lt;&gt;"",COUNTA(H$9:$H420)&amp;"","")</f>
        <v/>
      </c>
      <c r="B420" s="84"/>
      <c r="C420" s="84"/>
      <c r="D420" s="85"/>
      <c r="E420" s="97"/>
      <c r="F420" s="87"/>
      <c r="H420" s="88"/>
      <c r="I420" s="89" t="str">
        <f t="shared" si="431"/>
        <v/>
      </c>
      <c r="J420" s="90" t="str">
        <f t="shared" si="432"/>
        <v/>
      </c>
      <c r="K420" s="91" t="str">
        <f t="shared" si="433"/>
        <v/>
      </c>
      <c r="L420" s="92" t="str">
        <f t="shared" si="434"/>
        <v/>
      </c>
      <c r="M420" s="93" t="str">
        <f t="shared" si="435"/>
        <v/>
      </c>
      <c r="N420" s="94" t="str">
        <f t="shared" si="436"/>
        <v/>
      </c>
      <c r="O420" s="94" t="str">
        <f t="shared" si="437"/>
        <v/>
      </c>
      <c r="P420" s="92" t="str">
        <f t="shared" si="438"/>
        <v/>
      </c>
      <c r="Q420" s="95" t="str">
        <f t="shared" si="439"/>
        <v/>
      </c>
      <c r="R420" s="116"/>
    </row>
    <row r="421" spans="1:18" ht="15.6" x14ac:dyDescent="0.3">
      <c r="A421" s="83" t="str">
        <f>IF(TRIM(H421)&lt;&gt;"",COUNTA(H$9:$H421)&amp;"","")</f>
        <v/>
      </c>
      <c r="B421" s="84"/>
      <c r="C421" s="84"/>
      <c r="D421" s="85"/>
      <c r="E421" s="157" t="s">
        <v>166</v>
      </c>
      <c r="F421" s="87"/>
      <c r="H421" s="88"/>
      <c r="I421" s="89" t="str">
        <f t="shared" si="431"/>
        <v/>
      </c>
      <c r="J421" s="90" t="str">
        <f t="shared" si="432"/>
        <v/>
      </c>
      <c r="K421" s="91" t="str">
        <f t="shared" si="433"/>
        <v/>
      </c>
      <c r="L421" s="92" t="str">
        <f t="shared" si="434"/>
        <v/>
      </c>
      <c r="M421" s="93" t="str">
        <f t="shared" si="435"/>
        <v/>
      </c>
      <c r="N421" s="94" t="str">
        <f t="shared" si="436"/>
        <v/>
      </c>
      <c r="O421" s="94" t="str">
        <f t="shared" si="437"/>
        <v/>
      </c>
      <c r="P421" s="92" t="str">
        <f t="shared" si="438"/>
        <v/>
      </c>
      <c r="Q421" s="95" t="str">
        <f t="shared" si="439"/>
        <v/>
      </c>
      <c r="R421" s="116"/>
    </row>
    <row r="422" spans="1:18" ht="27.6" x14ac:dyDescent="0.3">
      <c r="A422" s="83" t="str">
        <f>IF(TRIM(H422)&lt;&gt;"",COUNTA(H$9:$H422)&amp;"","")</f>
        <v>279</v>
      </c>
      <c r="B422" s="84"/>
      <c r="C422" s="84"/>
      <c r="D422" s="85"/>
      <c r="E422" s="97" t="s">
        <v>638</v>
      </c>
      <c r="F422" s="87">
        <v>15</v>
      </c>
      <c r="H422" s="88" t="s">
        <v>232</v>
      </c>
      <c r="I422" s="89">
        <f t="shared" si="431"/>
        <v>0</v>
      </c>
      <c r="J422" s="90">
        <f t="shared" si="432"/>
        <v>15</v>
      </c>
      <c r="K422" s="91">
        <f t="shared" si="433"/>
        <v>0</v>
      </c>
      <c r="L422" s="92">
        <f t="shared" si="434"/>
        <v>0</v>
      </c>
      <c r="M422" s="93">
        <f t="shared" si="435"/>
        <v>0</v>
      </c>
      <c r="N422" s="94">
        <f t="shared" si="436"/>
        <v>0</v>
      </c>
      <c r="O422" s="94">
        <f t="shared" si="437"/>
        <v>0</v>
      </c>
      <c r="P422" s="92">
        <f t="shared" si="438"/>
        <v>0</v>
      </c>
      <c r="Q422" s="95">
        <f t="shared" si="439"/>
        <v>0</v>
      </c>
      <c r="R422" s="116"/>
    </row>
    <row r="423" spans="1:18" ht="41.4" x14ac:dyDescent="0.3">
      <c r="A423" s="83" t="str">
        <f>IF(TRIM(H423)&lt;&gt;"",COUNTA(H$9:$H423)&amp;"","")</f>
        <v>280</v>
      </c>
      <c r="B423" s="84"/>
      <c r="C423" s="84"/>
      <c r="D423" s="85"/>
      <c r="E423" s="86" t="s">
        <v>639</v>
      </c>
      <c r="F423" s="87">
        <v>1</v>
      </c>
      <c r="H423" s="88" t="s">
        <v>232</v>
      </c>
      <c r="I423" s="89">
        <f t="shared" si="431"/>
        <v>0</v>
      </c>
      <c r="J423" s="90">
        <f t="shared" si="432"/>
        <v>1</v>
      </c>
      <c r="K423" s="91">
        <f t="shared" si="433"/>
        <v>0</v>
      </c>
      <c r="L423" s="92">
        <f t="shared" si="434"/>
        <v>0</v>
      </c>
      <c r="M423" s="93">
        <f t="shared" si="435"/>
        <v>0</v>
      </c>
      <c r="N423" s="94">
        <f t="shared" si="436"/>
        <v>0</v>
      </c>
      <c r="O423" s="94">
        <f t="shared" si="437"/>
        <v>0</v>
      </c>
      <c r="P423" s="92">
        <f t="shared" si="438"/>
        <v>0</v>
      </c>
      <c r="Q423" s="95">
        <f t="shared" si="439"/>
        <v>0</v>
      </c>
      <c r="R423" s="116"/>
    </row>
    <row r="424" spans="1:18" ht="41.4" x14ac:dyDescent="0.3">
      <c r="A424" s="83" t="str">
        <f>IF(TRIM(H424)&lt;&gt;"",COUNTA(H$9:$H424)&amp;"","")</f>
        <v>281</v>
      </c>
      <c r="B424" s="84"/>
      <c r="C424" s="84"/>
      <c r="D424" s="85"/>
      <c r="E424" s="86" t="s">
        <v>640</v>
      </c>
      <c r="F424" s="87">
        <v>2</v>
      </c>
      <c r="H424" s="88" t="s">
        <v>232</v>
      </c>
      <c r="I424" s="89">
        <f t="shared" si="431"/>
        <v>0</v>
      </c>
      <c r="J424" s="90">
        <f t="shared" si="432"/>
        <v>2</v>
      </c>
      <c r="K424" s="91">
        <f t="shared" si="433"/>
        <v>0</v>
      </c>
      <c r="L424" s="92">
        <f t="shared" si="434"/>
        <v>0</v>
      </c>
      <c r="M424" s="93">
        <f t="shared" si="435"/>
        <v>0</v>
      </c>
      <c r="N424" s="94">
        <f t="shared" si="436"/>
        <v>0</v>
      </c>
      <c r="O424" s="94">
        <f t="shared" si="437"/>
        <v>0</v>
      </c>
      <c r="P424" s="92">
        <f t="shared" si="438"/>
        <v>0</v>
      </c>
      <c r="Q424" s="95">
        <f t="shared" si="439"/>
        <v>0</v>
      </c>
      <c r="R424" s="116"/>
    </row>
    <row r="425" spans="1:18" ht="41.4" x14ac:dyDescent="0.3">
      <c r="A425" s="83" t="str">
        <f>IF(TRIM(H425)&lt;&gt;"",COUNTA(H$9:$H425)&amp;"","")</f>
        <v>282</v>
      </c>
      <c r="B425" s="84"/>
      <c r="C425" s="84"/>
      <c r="D425" s="85"/>
      <c r="E425" s="86" t="s">
        <v>641</v>
      </c>
      <c r="F425" s="87">
        <v>3</v>
      </c>
      <c r="H425" s="88" t="s">
        <v>232</v>
      </c>
      <c r="I425" s="89">
        <f t="shared" si="431"/>
        <v>0</v>
      </c>
      <c r="J425" s="90">
        <f t="shared" si="432"/>
        <v>3</v>
      </c>
      <c r="K425" s="91">
        <f t="shared" si="433"/>
        <v>0</v>
      </c>
      <c r="L425" s="92">
        <f t="shared" si="434"/>
        <v>0</v>
      </c>
      <c r="M425" s="93">
        <f t="shared" si="435"/>
        <v>0</v>
      </c>
      <c r="N425" s="94">
        <f t="shared" si="436"/>
        <v>0</v>
      </c>
      <c r="O425" s="94">
        <f t="shared" si="437"/>
        <v>0</v>
      </c>
      <c r="P425" s="92">
        <f t="shared" si="438"/>
        <v>0</v>
      </c>
      <c r="Q425" s="95">
        <f t="shared" si="439"/>
        <v>0</v>
      </c>
      <c r="R425" s="116"/>
    </row>
    <row r="426" spans="1:18" ht="41.4" x14ac:dyDescent="0.3">
      <c r="A426" s="83" t="str">
        <f>IF(TRIM(H426)&lt;&gt;"",COUNTA(H$9:$H426)&amp;"","")</f>
        <v>283</v>
      </c>
      <c r="B426" s="84"/>
      <c r="C426" s="84"/>
      <c r="D426" s="85"/>
      <c r="E426" s="97" t="s">
        <v>642</v>
      </c>
      <c r="F426" s="87">
        <v>2</v>
      </c>
      <c r="H426" s="88" t="s">
        <v>232</v>
      </c>
      <c r="I426" s="89">
        <f t="shared" si="431"/>
        <v>0</v>
      </c>
      <c r="J426" s="90">
        <f t="shared" si="432"/>
        <v>2</v>
      </c>
      <c r="K426" s="91">
        <f t="shared" si="433"/>
        <v>0</v>
      </c>
      <c r="L426" s="92">
        <f t="shared" si="434"/>
        <v>0</v>
      </c>
      <c r="M426" s="93">
        <f t="shared" si="435"/>
        <v>0</v>
      </c>
      <c r="N426" s="94">
        <f t="shared" si="436"/>
        <v>0</v>
      </c>
      <c r="O426" s="94">
        <f t="shared" si="437"/>
        <v>0</v>
      </c>
      <c r="P426" s="92">
        <f t="shared" si="438"/>
        <v>0</v>
      </c>
      <c r="Q426" s="95">
        <f t="shared" si="439"/>
        <v>0</v>
      </c>
      <c r="R426" s="116"/>
    </row>
    <row r="427" spans="1:18" x14ac:dyDescent="0.3">
      <c r="A427" s="83" t="str">
        <f>IF(TRIM(H427)&lt;&gt;"",COUNTA(H$9:$H427)&amp;"","")</f>
        <v/>
      </c>
      <c r="B427" s="84"/>
      <c r="C427" s="84"/>
      <c r="D427" s="85"/>
      <c r="E427" s="97"/>
      <c r="F427" s="87"/>
      <c r="H427" s="88"/>
      <c r="I427" s="89" t="str">
        <f t="shared" si="431"/>
        <v/>
      </c>
      <c r="J427" s="90" t="str">
        <f t="shared" si="432"/>
        <v/>
      </c>
      <c r="K427" s="91" t="str">
        <f t="shared" si="433"/>
        <v/>
      </c>
      <c r="L427" s="92" t="str">
        <f t="shared" si="434"/>
        <v/>
      </c>
      <c r="M427" s="93" t="str">
        <f t="shared" si="435"/>
        <v/>
      </c>
      <c r="N427" s="94" t="str">
        <f t="shared" si="436"/>
        <v/>
      </c>
      <c r="O427" s="94" t="str">
        <f t="shared" si="437"/>
        <v/>
      </c>
      <c r="P427" s="92" t="str">
        <f t="shared" si="438"/>
        <v/>
      </c>
      <c r="Q427" s="95" t="str">
        <f t="shared" si="439"/>
        <v/>
      </c>
      <c r="R427" s="116"/>
    </row>
    <row r="428" spans="1:18" ht="15.6" x14ac:dyDescent="0.3">
      <c r="A428" s="83" t="str">
        <f>IF(TRIM(H428)&lt;&gt;"",COUNTA(H$9:$H428)&amp;"","")</f>
        <v/>
      </c>
      <c r="B428" s="84"/>
      <c r="C428" s="84"/>
      <c r="D428" s="85"/>
      <c r="E428" s="157" t="s">
        <v>643</v>
      </c>
      <c r="F428" s="87"/>
      <c r="H428" s="88"/>
      <c r="I428" s="89" t="str">
        <f t="shared" si="431"/>
        <v/>
      </c>
      <c r="J428" s="90" t="str">
        <f t="shared" si="432"/>
        <v/>
      </c>
      <c r="K428" s="91" t="str">
        <f t="shared" si="433"/>
        <v/>
      </c>
      <c r="L428" s="92" t="str">
        <f t="shared" si="434"/>
        <v/>
      </c>
      <c r="M428" s="93" t="str">
        <f t="shared" si="435"/>
        <v/>
      </c>
      <c r="N428" s="94" t="str">
        <f t="shared" si="436"/>
        <v/>
      </c>
      <c r="O428" s="94" t="str">
        <f t="shared" si="437"/>
        <v/>
      </c>
      <c r="P428" s="92" t="str">
        <f t="shared" si="438"/>
        <v/>
      </c>
      <c r="Q428" s="95" t="str">
        <f t="shared" si="439"/>
        <v/>
      </c>
      <c r="R428" s="116"/>
    </row>
    <row r="429" spans="1:18" x14ac:dyDescent="0.3">
      <c r="A429" s="83" t="str">
        <f>IF(TRIM(H429)&lt;&gt;"",COUNTA(H$9:$H429)&amp;"","")</f>
        <v>284</v>
      </c>
      <c r="B429" s="84"/>
      <c r="C429" s="84"/>
      <c r="D429" s="85"/>
      <c r="E429" s="97" t="s">
        <v>644</v>
      </c>
      <c r="F429" s="87">
        <v>1</v>
      </c>
      <c r="H429" s="88" t="s">
        <v>232</v>
      </c>
      <c r="I429" s="89">
        <f t="shared" si="431"/>
        <v>0</v>
      </c>
      <c r="J429" s="90">
        <f t="shared" si="432"/>
        <v>1</v>
      </c>
      <c r="K429" s="91">
        <f t="shared" si="433"/>
        <v>0</v>
      </c>
      <c r="L429" s="92">
        <f t="shared" si="434"/>
        <v>0</v>
      </c>
      <c r="M429" s="93">
        <f t="shared" si="435"/>
        <v>0</v>
      </c>
      <c r="N429" s="94">
        <f t="shared" si="436"/>
        <v>0</v>
      </c>
      <c r="O429" s="94">
        <f t="shared" si="437"/>
        <v>0</v>
      </c>
      <c r="P429" s="92">
        <f t="shared" si="438"/>
        <v>0</v>
      </c>
      <c r="Q429" s="95">
        <f t="shared" si="439"/>
        <v>0</v>
      </c>
      <c r="R429" s="116"/>
    </row>
    <row r="430" spans="1:18" x14ac:dyDescent="0.3">
      <c r="A430" s="83" t="str">
        <f>IF(TRIM(H430)&lt;&gt;"",COUNTA(H$9:$H430)&amp;"","")</f>
        <v/>
      </c>
      <c r="B430" s="84"/>
      <c r="C430" s="84"/>
      <c r="D430" s="85"/>
      <c r="E430" s="97"/>
      <c r="F430" s="87"/>
      <c r="H430" s="88"/>
      <c r="I430" s="89" t="str">
        <f t="shared" si="431"/>
        <v/>
      </c>
      <c r="J430" s="90" t="str">
        <f t="shared" si="432"/>
        <v/>
      </c>
      <c r="K430" s="91" t="str">
        <f t="shared" si="433"/>
        <v/>
      </c>
      <c r="L430" s="92" t="str">
        <f t="shared" si="434"/>
        <v/>
      </c>
      <c r="M430" s="93" t="str">
        <f t="shared" si="435"/>
        <v/>
      </c>
      <c r="N430" s="94" t="str">
        <f t="shared" si="436"/>
        <v/>
      </c>
      <c r="O430" s="94" t="str">
        <f t="shared" si="437"/>
        <v/>
      </c>
      <c r="P430" s="92" t="str">
        <f t="shared" si="438"/>
        <v/>
      </c>
      <c r="Q430" s="95" t="str">
        <f t="shared" si="439"/>
        <v/>
      </c>
      <c r="R430" s="116"/>
    </row>
    <row r="431" spans="1:18" ht="15.6" x14ac:dyDescent="0.3">
      <c r="A431" s="83" t="str">
        <f>IF(TRIM(H431)&lt;&gt;"",COUNTA(H$9:$H431)&amp;"","")</f>
        <v/>
      </c>
      <c r="B431" s="84"/>
      <c r="C431" s="84"/>
      <c r="D431" s="85"/>
      <c r="E431" s="157" t="s">
        <v>167</v>
      </c>
      <c r="F431" s="87"/>
      <c r="H431" s="88"/>
      <c r="I431" s="89" t="str">
        <f t="shared" si="431"/>
        <v/>
      </c>
      <c r="J431" s="90" t="str">
        <f t="shared" si="432"/>
        <v/>
      </c>
      <c r="K431" s="91" t="str">
        <f t="shared" si="433"/>
        <v/>
      </c>
      <c r="L431" s="92" t="str">
        <f t="shared" si="434"/>
        <v/>
      </c>
      <c r="M431" s="93" t="str">
        <f t="shared" si="435"/>
        <v/>
      </c>
      <c r="N431" s="94" t="str">
        <f t="shared" si="436"/>
        <v/>
      </c>
      <c r="O431" s="94" t="str">
        <f t="shared" si="437"/>
        <v/>
      </c>
      <c r="P431" s="92" t="str">
        <f t="shared" si="438"/>
        <v/>
      </c>
      <c r="Q431" s="95" t="str">
        <f t="shared" si="439"/>
        <v/>
      </c>
      <c r="R431" s="116"/>
    </row>
    <row r="432" spans="1:18" ht="82.8" x14ac:dyDescent="0.3">
      <c r="A432" s="83" t="str">
        <f>IF(TRIM(H432)&lt;&gt;"",COUNTA(H$9:$H432)&amp;"","")</f>
        <v>285</v>
      </c>
      <c r="B432" s="84"/>
      <c r="C432" s="84"/>
      <c r="D432" s="85"/>
      <c r="E432" s="97" t="s">
        <v>645</v>
      </c>
      <c r="F432" s="87">
        <v>1</v>
      </c>
      <c r="H432" s="88" t="s">
        <v>232</v>
      </c>
      <c r="I432" s="89">
        <f t="shared" si="431"/>
        <v>0</v>
      </c>
      <c r="J432" s="90">
        <f t="shared" si="432"/>
        <v>1</v>
      </c>
      <c r="K432" s="91">
        <f t="shared" si="433"/>
        <v>0</v>
      </c>
      <c r="L432" s="92">
        <f t="shared" si="434"/>
        <v>0</v>
      </c>
      <c r="M432" s="93">
        <f t="shared" si="435"/>
        <v>0</v>
      </c>
      <c r="N432" s="94">
        <f t="shared" si="436"/>
        <v>0</v>
      </c>
      <c r="O432" s="94">
        <f t="shared" si="437"/>
        <v>0</v>
      </c>
      <c r="P432" s="92">
        <f t="shared" si="438"/>
        <v>0</v>
      </c>
      <c r="Q432" s="95">
        <f t="shared" si="439"/>
        <v>0</v>
      </c>
      <c r="R432" s="116"/>
    </row>
    <row r="433" spans="1:18" ht="82.8" x14ac:dyDescent="0.3">
      <c r="A433" s="83" t="str">
        <f>IF(TRIM(H433)&lt;&gt;"",COUNTA(H$9:$H433)&amp;"","")</f>
        <v>286</v>
      </c>
      <c r="B433" s="84"/>
      <c r="C433" s="84"/>
      <c r="D433" s="85"/>
      <c r="E433" s="97" t="s">
        <v>646</v>
      </c>
      <c r="F433" s="87">
        <v>1</v>
      </c>
      <c r="H433" s="88" t="s">
        <v>232</v>
      </c>
      <c r="I433" s="89">
        <f t="shared" si="431"/>
        <v>0</v>
      </c>
      <c r="J433" s="90">
        <f t="shared" si="432"/>
        <v>1</v>
      </c>
      <c r="K433" s="91">
        <f t="shared" si="433"/>
        <v>0</v>
      </c>
      <c r="L433" s="92">
        <f t="shared" si="434"/>
        <v>0</v>
      </c>
      <c r="M433" s="93">
        <f t="shared" si="435"/>
        <v>0</v>
      </c>
      <c r="N433" s="94">
        <f t="shared" si="436"/>
        <v>0</v>
      </c>
      <c r="O433" s="94">
        <f t="shared" si="437"/>
        <v>0</v>
      </c>
      <c r="P433" s="92">
        <f t="shared" si="438"/>
        <v>0</v>
      </c>
      <c r="Q433" s="95">
        <f t="shared" si="439"/>
        <v>0</v>
      </c>
      <c r="R433" s="116"/>
    </row>
    <row r="434" spans="1:18" ht="69" x14ac:dyDescent="0.3">
      <c r="A434" s="83" t="str">
        <f>IF(TRIM(H434)&lt;&gt;"",COUNTA(H$9:$H434)&amp;"","")</f>
        <v>287</v>
      </c>
      <c r="B434" s="84"/>
      <c r="C434" s="84"/>
      <c r="D434" s="85"/>
      <c r="E434" s="97" t="s">
        <v>647</v>
      </c>
      <c r="F434" s="87">
        <v>1</v>
      </c>
      <c r="H434" s="88" t="s">
        <v>232</v>
      </c>
      <c r="I434" s="89">
        <f t="shared" si="431"/>
        <v>0</v>
      </c>
      <c r="J434" s="90">
        <f t="shared" si="432"/>
        <v>1</v>
      </c>
      <c r="K434" s="91">
        <f t="shared" si="433"/>
        <v>0</v>
      </c>
      <c r="L434" s="92">
        <f t="shared" si="434"/>
        <v>0</v>
      </c>
      <c r="M434" s="93">
        <f t="shared" si="435"/>
        <v>0</v>
      </c>
      <c r="N434" s="94">
        <f t="shared" si="436"/>
        <v>0</v>
      </c>
      <c r="O434" s="94">
        <f t="shared" si="437"/>
        <v>0</v>
      </c>
      <c r="P434" s="92">
        <f t="shared" si="438"/>
        <v>0</v>
      </c>
      <c r="Q434" s="95">
        <f t="shared" si="439"/>
        <v>0</v>
      </c>
      <c r="R434" s="116"/>
    </row>
    <row r="435" spans="1:18" ht="27.6" x14ac:dyDescent="0.3">
      <c r="A435" s="83" t="str">
        <f>IF(TRIM(H435)&lt;&gt;"",COUNTA(H$9:$H435)&amp;"","")</f>
        <v>288</v>
      </c>
      <c r="B435" s="84"/>
      <c r="C435" s="84"/>
      <c r="D435" s="85"/>
      <c r="E435" s="97" t="s">
        <v>648</v>
      </c>
      <c r="F435" s="87">
        <v>1</v>
      </c>
      <c r="H435" s="88" t="s">
        <v>232</v>
      </c>
      <c r="I435" s="89">
        <f t="shared" si="431"/>
        <v>0</v>
      </c>
      <c r="J435" s="90">
        <f t="shared" si="432"/>
        <v>1</v>
      </c>
      <c r="K435" s="91">
        <f t="shared" si="433"/>
        <v>0</v>
      </c>
      <c r="L435" s="92">
        <f t="shared" si="434"/>
        <v>0</v>
      </c>
      <c r="M435" s="93">
        <f t="shared" si="435"/>
        <v>0</v>
      </c>
      <c r="N435" s="94">
        <f t="shared" si="436"/>
        <v>0</v>
      </c>
      <c r="O435" s="94">
        <f t="shared" si="437"/>
        <v>0</v>
      </c>
      <c r="P435" s="92">
        <f t="shared" si="438"/>
        <v>0</v>
      </c>
      <c r="Q435" s="95">
        <f t="shared" si="439"/>
        <v>0</v>
      </c>
      <c r="R435" s="116"/>
    </row>
    <row r="436" spans="1:18" ht="27.6" x14ac:dyDescent="0.3">
      <c r="A436" s="83" t="str">
        <f>IF(TRIM(H436)&lt;&gt;"",COUNTA(H$9:$H436)&amp;"","")</f>
        <v>289</v>
      </c>
      <c r="B436" s="84"/>
      <c r="C436" s="84"/>
      <c r="D436" s="85"/>
      <c r="E436" s="97" t="s">
        <v>649</v>
      </c>
      <c r="F436" s="87">
        <v>1</v>
      </c>
      <c r="H436" s="88" t="s">
        <v>232</v>
      </c>
      <c r="I436" s="89">
        <f t="shared" si="431"/>
        <v>0</v>
      </c>
      <c r="J436" s="90">
        <f t="shared" si="432"/>
        <v>1</v>
      </c>
      <c r="K436" s="91">
        <f t="shared" si="433"/>
        <v>0</v>
      </c>
      <c r="L436" s="92">
        <f t="shared" si="434"/>
        <v>0</v>
      </c>
      <c r="M436" s="93">
        <f t="shared" si="435"/>
        <v>0</v>
      </c>
      <c r="N436" s="94">
        <f t="shared" si="436"/>
        <v>0</v>
      </c>
      <c r="O436" s="94">
        <f t="shared" si="437"/>
        <v>0</v>
      </c>
      <c r="P436" s="92">
        <f t="shared" si="438"/>
        <v>0</v>
      </c>
      <c r="Q436" s="95">
        <f t="shared" si="439"/>
        <v>0</v>
      </c>
      <c r="R436" s="116"/>
    </row>
    <row r="437" spans="1:18" ht="27.6" x14ac:dyDescent="0.3">
      <c r="A437" s="83" t="str">
        <f>IF(TRIM(H437)&lt;&gt;"",COUNTA(H$9:$H437)&amp;"","")</f>
        <v>290</v>
      </c>
      <c r="B437" s="84"/>
      <c r="C437" s="84"/>
      <c r="D437" s="85"/>
      <c r="E437" s="97" t="s">
        <v>650</v>
      </c>
      <c r="F437" s="87">
        <v>1</v>
      </c>
      <c r="H437" s="88" t="s">
        <v>232</v>
      </c>
      <c r="I437" s="89">
        <f t="shared" si="431"/>
        <v>0</v>
      </c>
      <c r="J437" s="90">
        <f t="shared" si="432"/>
        <v>1</v>
      </c>
      <c r="K437" s="91">
        <f t="shared" si="433"/>
        <v>0</v>
      </c>
      <c r="L437" s="92">
        <f t="shared" si="434"/>
        <v>0</v>
      </c>
      <c r="M437" s="93">
        <f t="shared" si="435"/>
        <v>0</v>
      </c>
      <c r="N437" s="94">
        <f t="shared" si="436"/>
        <v>0</v>
      </c>
      <c r="O437" s="94">
        <f t="shared" si="437"/>
        <v>0</v>
      </c>
      <c r="P437" s="92">
        <f t="shared" si="438"/>
        <v>0</v>
      </c>
      <c r="Q437" s="95">
        <f t="shared" si="439"/>
        <v>0</v>
      </c>
      <c r="R437" s="116"/>
    </row>
    <row r="438" spans="1:18" ht="27.6" x14ac:dyDescent="0.3">
      <c r="A438" s="83" t="str">
        <f>IF(TRIM(H438)&lt;&gt;"",COUNTA(H$9:$H438)&amp;"","")</f>
        <v>291</v>
      </c>
      <c r="B438" s="84"/>
      <c r="C438" s="84"/>
      <c r="D438" s="85"/>
      <c r="E438" s="97" t="s">
        <v>651</v>
      </c>
      <c r="F438" s="87">
        <v>1</v>
      </c>
      <c r="H438" s="88" t="s">
        <v>232</v>
      </c>
      <c r="I438" s="89">
        <f t="shared" si="431"/>
        <v>0</v>
      </c>
      <c r="J438" s="90">
        <f t="shared" si="432"/>
        <v>1</v>
      </c>
      <c r="K438" s="91">
        <f t="shared" si="433"/>
        <v>0</v>
      </c>
      <c r="L438" s="92">
        <f t="shared" si="434"/>
        <v>0</v>
      </c>
      <c r="M438" s="93">
        <f t="shared" si="435"/>
        <v>0</v>
      </c>
      <c r="N438" s="94">
        <f t="shared" si="436"/>
        <v>0</v>
      </c>
      <c r="O438" s="94">
        <f t="shared" si="437"/>
        <v>0</v>
      </c>
      <c r="P438" s="92">
        <f t="shared" si="438"/>
        <v>0</v>
      </c>
      <c r="Q438" s="95">
        <f t="shared" si="439"/>
        <v>0</v>
      </c>
      <c r="R438" s="116"/>
    </row>
    <row r="439" spans="1:18" ht="15" thickBot="1" x14ac:dyDescent="0.35">
      <c r="A439" s="83" t="str">
        <f>IF(TRIM(H439)&lt;&gt;"",COUNTA(H$9:$H439)&amp;"","")</f>
        <v/>
      </c>
      <c r="B439" s="98"/>
      <c r="C439" s="98"/>
      <c r="D439" s="85"/>
      <c r="E439" s="99"/>
      <c r="F439" s="87"/>
      <c r="H439" s="88"/>
      <c r="I439" s="89" t="str">
        <f t="shared" si="431"/>
        <v/>
      </c>
      <c r="J439" s="90" t="str">
        <f t="shared" si="432"/>
        <v/>
      </c>
      <c r="K439" s="91" t="str">
        <f t="shared" si="433"/>
        <v/>
      </c>
      <c r="L439" s="92" t="str">
        <f t="shared" si="434"/>
        <v/>
      </c>
      <c r="M439" s="93" t="str">
        <f t="shared" si="435"/>
        <v/>
      </c>
      <c r="N439" s="94" t="str">
        <f t="shared" si="436"/>
        <v/>
      </c>
      <c r="O439" s="94" t="str">
        <f t="shared" si="437"/>
        <v/>
      </c>
      <c r="P439" s="92" t="str">
        <f t="shared" si="438"/>
        <v/>
      </c>
      <c r="Q439" s="95" t="str">
        <f t="shared" si="439"/>
        <v/>
      </c>
      <c r="R439" s="116"/>
    </row>
    <row r="440" spans="1:18" s="111" customFormat="1" ht="16.2" thickBot="1" x14ac:dyDescent="0.35">
      <c r="A440" s="83" t="str">
        <f>IF(TRIM(H440)&lt;&gt;"",COUNTA(H$9:$H440)&amp;"","")</f>
        <v/>
      </c>
      <c r="B440" s="118"/>
      <c r="C440" s="118"/>
      <c r="D440" s="119"/>
      <c r="E440" s="102"/>
      <c r="F440" s="87"/>
      <c r="H440" s="120"/>
      <c r="I440" s="105" t="s">
        <v>12</v>
      </c>
      <c r="J440" s="106"/>
      <c r="K440" s="107">
        <f>SUM(L$345:L$439)</f>
        <v>0</v>
      </c>
      <c r="L440" s="211" t="s">
        <v>13</v>
      </c>
      <c r="M440" s="212"/>
      <c r="N440" s="108">
        <f>SUM(P$345:P$439)</f>
        <v>0</v>
      </c>
      <c r="O440" s="211" t="s">
        <v>42</v>
      </c>
      <c r="P440" s="212"/>
      <c r="Q440" s="109">
        <f>SUM(O$345:O$439)</f>
        <v>0</v>
      </c>
      <c r="R440" s="110">
        <f>SUM(Q$345:Q$439)</f>
        <v>0</v>
      </c>
    </row>
    <row r="441" spans="1:18" s="164" customFormat="1" ht="20.100000000000001" customHeight="1" x14ac:dyDescent="0.3">
      <c r="A441" s="160" t="str">
        <f>IF(TRIM(H441)&lt;&gt;"",COUNTA(H$9:$H441)&amp;"","")</f>
        <v/>
      </c>
      <c r="B441" s="161"/>
      <c r="C441" s="161"/>
      <c r="D441" s="162">
        <v>260000</v>
      </c>
      <c r="E441" s="162" t="s">
        <v>139</v>
      </c>
      <c r="F441" s="163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5"/>
    </row>
    <row r="442" spans="1:18" s="113" customFormat="1" ht="19.2" customHeight="1" x14ac:dyDescent="0.3">
      <c r="A442" s="83"/>
      <c r="B442" s="112"/>
      <c r="C442" s="112"/>
      <c r="D442" s="85"/>
      <c r="E442" s="121" t="s">
        <v>652</v>
      </c>
      <c r="F442" s="87"/>
      <c r="H442" s="88"/>
      <c r="I442" s="89"/>
      <c r="J442" s="90"/>
      <c r="K442" s="91"/>
      <c r="L442" s="92"/>
      <c r="M442" s="93"/>
      <c r="N442" s="94"/>
      <c r="O442" s="94"/>
      <c r="P442" s="92"/>
      <c r="Q442" s="95"/>
      <c r="R442" s="96"/>
    </row>
    <row r="443" spans="1:18" x14ac:dyDescent="0.3">
      <c r="A443" s="83" t="str">
        <f>IF(TRIM(H443)&lt;&gt;"",COUNTA(H$9:$H443)&amp;"","")</f>
        <v>292</v>
      </c>
      <c r="B443" s="84"/>
      <c r="C443" s="84"/>
      <c r="D443" s="85"/>
      <c r="E443" s="97" t="s">
        <v>726</v>
      </c>
      <c r="F443" s="87">
        <v>51.37</v>
      </c>
      <c r="H443" s="88" t="s">
        <v>175</v>
      </c>
      <c r="I443" s="89">
        <v>0.05</v>
      </c>
      <c r="J443" s="90">
        <f t="shared" ref="J443:J463" si="459">IF(F443=0,"",F443+(F443*I443))</f>
        <v>53.938499999999998</v>
      </c>
      <c r="K443" s="91">
        <f t="shared" ref="K443:K463" si="460">IF(F443=0,"",0)</f>
        <v>0</v>
      </c>
      <c r="L443" s="92">
        <f t="shared" ref="L443:L463" si="461">IF(F443=0,"",K443*J443)</f>
        <v>0</v>
      </c>
      <c r="M443" s="93">
        <f t="shared" ref="M443:M463" si="462">IF(F443=0,"",M$7)</f>
        <v>0</v>
      </c>
      <c r="N443" s="94">
        <f t="shared" ref="N443:N463" si="463">IF(F443=0,"",0)</f>
        <v>0</v>
      </c>
      <c r="O443" s="94">
        <f t="shared" ref="O443:O463" si="464">IF(F443=0,"",N443*J443)</f>
        <v>0</v>
      </c>
      <c r="P443" s="92">
        <f t="shared" ref="P443:P463" si="465">IF(F443=0,"",O443*M443)</f>
        <v>0</v>
      </c>
      <c r="Q443" s="95">
        <f t="shared" ref="Q443:Q463" si="466">IF(F443=0,"",L443+P443)</f>
        <v>0</v>
      </c>
      <c r="R443" s="96"/>
    </row>
    <row r="444" spans="1:18" x14ac:dyDescent="0.3">
      <c r="A444" s="83" t="str">
        <f>IF(TRIM(H444)&lt;&gt;"",COUNTA(H$9:$H444)&amp;"","")</f>
        <v>293</v>
      </c>
      <c r="B444" s="84"/>
      <c r="C444" s="84"/>
      <c r="D444" s="85"/>
      <c r="E444" s="97" t="s">
        <v>727</v>
      </c>
      <c r="F444" s="87">
        <v>3</v>
      </c>
      <c r="H444" s="88" t="s">
        <v>232</v>
      </c>
      <c r="I444" s="89">
        <f t="shared" ref="I444:I463" si="467">IF(F444=0,"",0)</f>
        <v>0</v>
      </c>
      <c r="J444" s="90">
        <f t="shared" si="459"/>
        <v>3</v>
      </c>
      <c r="K444" s="91">
        <f t="shared" si="460"/>
        <v>0</v>
      </c>
      <c r="L444" s="92">
        <f t="shared" si="461"/>
        <v>0</v>
      </c>
      <c r="M444" s="93">
        <f t="shared" si="462"/>
        <v>0</v>
      </c>
      <c r="N444" s="94">
        <f t="shared" si="463"/>
        <v>0</v>
      </c>
      <c r="O444" s="94">
        <f t="shared" si="464"/>
        <v>0</v>
      </c>
      <c r="P444" s="92">
        <f t="shared" si="465"/>
        <v>0</v>
      </c>
      <c r="Q444" s="95">
        <f t="shared" si="466"/>
        <v>0</v>
      </c>
      <c r="R444" s="96"/>
    </row>
    <row r="445" spans="1:18" x14ac:dyDescent="0.3">
      <c r="A445" s="83" t="str">
        <f>IF(TRIM(H445)&lt;&gt;"",COUNTA(H$9:$H445)&amp;"","")</f>
        <v>294</v>
      </c>
      <c r="B445" s="84"/>
      <c r="C445" s="84"/>
      <c r="D445" s="85"/>
      <c r="E445" s="97" t="s">
        <v>728</v>
      </c>
      <c r="F445" s="87">
        <v>10</v>
      </c>
      <c r="H445" s="88" t="s">
        <v>232</v>
      </c>
      <c r="I445" s="89">
        <f t="shared" si="467"/>
        <v>0</v>
      </c>
      <c r="J445" s="90">
        <f t="shared" si="459"/>
        <v>10</v>
      </c>
      <c r="K445" s="91">
        <f t="shared" si="460"/>
        <v>0</v>
      </c>
      <c r="L445" s="92">
        <f t="shared" si="461"/>
        <v>0</v>
      </c>
      <c r="M445" s="93">
        <f t="shared" si="462"/>
        <v>0</v>
      </c>
      <c r="N445" s="94">
        <f t="shared" si="463"/>
        <v>0</v>
      </c>
      <c r="O445" s="94">
        <f t="shared" si="464"/>
        <v>0</v>
      </c>
      <c r="P445" s="92">
        <f t="shared" si="465"/>
        <v>0</v>
      </c>
      <c r="Q445" s="95">
        <f t="shared" si="466"/>
        <v>0</v>
      </c>
      <c r="R445" s="96"/>
    </row>
    <row r="446" spans="1:18" x14ac:dyDescent="0.3">
      <c r="A446" s="83" t="str">
        <f>IF(TRIM(H446)&lt;&gt;"",COUNTA(H$9:$H446)&amp;"","")</f>
        <v>295</v>
      </c>
      <c r="B446" s="84"/>
      <c r="C446" s="84"/>
      <c r="D446" s="85"/>
      <c r="E446" s="97" t="s">
        <v>729</v>
      </c>
      <c r="F446" s="87">
        <v>1</v>
      </c>
      <c r="H446" s="88" t="s">
        <v>232</v>
      </c>
      <c r="I446" s="89">
        <f t="shared" si="467"/>
        <v>0</v>
      </c>
      <c r="J446" s="90">
        <f t="shared" si="459"/>
        <v>1</v>
      </c>
      <c r="K446" s="91">
        <f t="shared" si="460"/>
        <v>0</v>
      </c>
      <c r="L446" s="92">
        <f t="shared" si="461"/>
        <v>0</v>
      </c>
      <c r="M446" s="93">
        <f t="shared" si="462"/>
        <v>0</v>
      </c>
      <c r="N446" s="94">
        <f t="shared" si="463"/>
        <v>0</v>
      </c>
      <c r="O446" s="94">
        <f t="shared" si="464"/>
        <v>0</v>
      </c>
      <c r="P446" s="92">
        <f t="shared" si="465"/>
        <v>0</v>
      </c>
      <c r="Q446" s="95">
        <f t="shared" si="466"/>
        <v>0</v>
      </c>
      <c r="R446" s="96"/>
    </row>
    <row r="447" spans="1:18" x14ac:dyDescent="0.3">
      <c r="A447" s="83" t="str">
        <f>IF(TRIM(H447)&lt;&gt;"",COUNTA(H$9:$H447)&amp;"","")</f>
        <v>296</v>
      </c>
      <c r="B447" s="84"/>
      <c r="C447" s="84"/>
      <c r="D447" s="85"/>
      <c r="E447" s="97" t="s">
        <v>730</v>
      </c>
      <c r="F447" s="87">
        <v>10</v>
      </c>
      <c r="H447" s="88" t="s">
        <v>232</v>
      </c>
      <c r="I447" s="89">
        <f t="shared" si="467"/>
        <v>0</v>
      </c>
      <c r="J447" s="90">
        <f t="shared" si="459"/>
        <v>10</v>
      </c>
      <c r="K447" s="91">
        <f t="shared" si="460"/>
        <v>0</v>
      </c>
      <c r="L447" s="92">
        <f t="shared" si="461"/>
        <v>0</v>
      </c>
      <c r="M447" s="93">
        <f t="shared" si="462"/>
        <v>0</v>
      </c>
      <c r="N447" s="94">
        <f t="shared" si="463"/>
        <v>0</v>
      </c>
      <c r="O447" s="94">
        <f t="shared" si="464"/>
        <v>0</v>
      </c>
      <c r="P447" s="92">
        <f t="shared" si="465"/>
        <v>0</v>
      </c>
      <c r="Q447" s="95">
        <f t="shared" si="466"/>
        <v>0</v>
      </c>
      <c r="R447" s="96"/>
    </row>
    <row r="448" spans="1:18" x14ac:dyDescent="0.3">
      <c r="A448" s="83" t="str">
        <f>IF(TRIM(H448)&lt;&gt;"",COUNTA(H$9:$H448)&amp;"","")</f>
        <v>297</v>
      </c>
      <c r="B448" s="84"/>
      <c r="C448" s="84"/>
      <c r="D448" s="85"/>
      <c r="E448" s="97" t="s">
        <v>731</v>
      </c>
      <c r="F448" s="87">
        <v>1</v>
      </c>
      <c r="H448" s="88" t="s">
        <v>232</v>
      </c>
      <c r="I448" s="89">
        <f t="shared" si="467"/>
        <v>0</v>
      </c>
      <c r="J448" s="90">
        <f t="shared" si="459"/>
        <v>1</v>
      </c>
      <c r="K448" s="91">
        <f t="shared" si="460"/>
        <v>0</v>
      </c>
      <c r="L448" s="92">
        <f t="shared" si="461"/>
        <v>0</v>
      </c>
      <c r="M448" s="93">
        <f t="shared" si="462"/>
        <v>0</v>
      </c>
      <c r="N448" s="94">
        <f t="shared" si="463"/>
        <v>0</v>
      </c>
      <c r="O448" s="94">
        <f t="shared" si="464"/>
        <v>0</v>
      </c>
      <c r="P448" s="92">
        <f t="shared" si="465"/>
        <v>0</v>
      </c>
      <c r="Q448" s="95">
        <f t="shared" si="466"/>
        <v>0</v>
      </c>
      <c r="R448" s="96"/>
    </row>
    <row r="449" spans="1:18" x14ac:dyDescent="0.3">
      <c r="A449" s="83" t="str">
        <f>IF(TRIM(H449)&lt;&gt;"",COUNTA(H$9:$H449)&amp;"","")</f>
        <v>298</v>
      </c>
      <c r="B449" s="84"/>
      <c r="C449" s="84"/>
      <c r="D449" s="85"/>
      <c r="E449" s="97" t="s">
        <v>732</v>
      </c>
      <c r="F449" s="87">
        <v>5</v>
      </c>
      <c r="H449" s="88" t="s">
        <v>232</v>
      </c>
      <c r="I449" s="89">
        <f t="shared" si="467"/>
        <v>0</v>
      </c>
      <c r="J449" s="90">
        <f t="shared" si="459"/>
        <v>5</v>
      </c>
      <c r="K449" s="91">
        <f t="shared" si="460"/>
        <v>0</v>
      </c>
      <c r="L449" s="92">
        <f t="shared" si="461"/>
        <v>0</v>
      </c>
      <c r="M449" s="93">
        <f t="shared" si="462"/>
        <v>0</v>
      </c>
      <c r="N449" s="94">
        <f t="shared" si="463"/>
        <v>0</v>
      </c>
      <c r="O449" s="94">
        <f t="shared" si="464"/>
        <v>0</v>
      </c>
      <c r="P449" s="92">
        <f t="shared" si="465"/>
        <v>0</v>
      </c>
      <c r="Q449" s="95">
        <f t="shared" si="466"/>
        <v>0</v>
      </c>
      <c r="R449" s="96"/>
    </row>
    <row r="450" spans="1:18" x14ac:dyDescent="0.3">
      <c r="A450" s="83" t="str">
        <f>IF(TRIM(H450)&lt;&gt;"",COUNTA(H$9:$H450)&amp;"","")</f>
        <v>299</v>
      </c>
      <c r="B450" s="84"/>
      <c r="C450" s="84"/>
      <c r="D450" s="85"/>
      <c r="E450" s="97" t="s">
        <v>733</v>
      </c>
      <c r="F450" s="87">
        <v>17</v>
      </c>
      <c r="H450" s="88" t="s">
        <v>232</v>
      </c>
      <c r="I450" s="89">
        <f t="shared" si="467"/>
        <v>0</v>
      </c>
      <c r="J450" s="90">
        <f t="shared" si="459"/>
        <v>17</v>
      </c>
      <c r="K450" s="91">
        <f t="shared" si="460"/>
        <v>0</v>
      </c>
      <c r="L450" s="92">
        <f t="shared" si="461"/>
        <v>0</v>
      </c>
      <c r="M450" s="93">
        <f t="shared" si="462"/>
        <v>0</v>
      </c>
      <c r="N450" s="94">
        <f t="shared" si="463"/>
        <v>0</v>
      </c>
      <c r="O450" s="94">
        <f t="shared" si="464"/>
        <v>0</v>
      </c>
      <c r="P450" s="92">
        <f t="shared" si="465"/>
        <v>0</v>
      </c>
      <c r="Q450" s="95">
        <f t="shared" si="466"/>
        <v>0</v>
      </c>
      <c r="R450" s="96"/>
    </row>
    <row r="451" spans="1:18" x14ac:dyDescent="0.3">
      <c r="A451" s="83" t="str">
        <f>IF(TRIM(H451)&lt;&gt;"",COUNTA(H$9:$H451)&amp;"","")</f>
        <v>300</v>
      </c>
      <c r="B451" s="84"/>
      <c r="C451" s="84"/>
      <c r="D451" s="85"/>
      <c r="E451" s="97" t="s">
        <v>734</v>
      </c>
      <c r="F451" s="87">
        <v>2</v>
      </c>
      <c r="H451" s="88" t="s">
        <v>232</v>
      </c>
      <c r="I451" s="89">
        <f t="shared" si="467"/>
        <v>0</v>
      </c>
      <c r="J451" s="90">
        <f t="shared" si="459"/>
        <v>2</v>
      </c>
      <c r="K451" s="91">
        <f t="shared" si="460"/>
        <v>0</v>
      </c>
      <c r="L451" s="92">
        <f t="shared" si="461"/>
        <v>0</v>
      </c>
      <c r="M451" s="93">
        <f t="shared" si="462"/>
        <v>0</v>
      </c>
      <c r="N451" s="94">
        <f t="shared" si="463"/>
        <v>0</v>
      </c>
      <c r="O451" s="94">
        <f t="shared" si="464"/>
        <v>0</v>
      </c>
      <c r="P451" s="92">
        <f t="shared" si="465"/>
        <v>0</v>
      </c>
      <c r="Q451" s="95">
        <f t="shared" si="466"/>
        <v>0</v>
      </c>
      <c r="R451" s="96"/>
    </row>
    <row r="452" spans="1:18" x14ac:dyDescent="0.3">
      <c r="A452" s="83" t="str">
        <f>IF(TRIM(H452)&lt;&gt;"",COUNTA(H$9:$H452)&amp;"","")</f>
        <v>301</v>
      </c>
      <c r="B452" s="84"/>
      <c r="C452" s="84"/>
      <c r="D452" s="85"/>
      <c r="E452" s="97" t="s">
        <v>735</v>
      </c>
      <c r="F452" s="87">
        <v>23</v>
      </c>
      <c r="H452" s="88" t="s">
        <v>232</v>
      </c>
      <c r="I452" s="89">
        <f t="shared" si="467"/>
        <v>0</v>
      </c>
      <c r="J452" s="90">
        <f t="shared" si="459"/>
        <v>23</v>
      </c>
      <c r="K452" s="91">
        <f t="shared" si="460"/>
        <v>0</v>
      </c>
      <c r="L452" s="92">
        <f t="shared" si="461"/>
        <v>0</v>
      </c>
      <c r="M452" s="93">
        <f t="shared" si="462"/>
        <v>0</v>
      </c>
      <c r="N452" s="94">
        <f t="shared" si="463"/>
        <v>0</v>
      </c>
      <c r="O452" s="94">
        <f t="shared" si="464"/>
        <v>0</v>
      </c>
      <c r="P452" s="92">
        <f t="shared" si="465"/>
        <v>0</v>
      </c>
      <c r="Q452" s="95">
        <f t="shared" si="466"/>
        <v>0</v>
      </c>
      <c r="R452" s="96"/>
    </row>
    <row r="453" spans="1:18" x14ac:dyDescent="0.3">
      <c r="A453" s="83" t="str">
        <f>IF(TRIM(H453)&lt;&gt;"",COUNTA(H$9:$H453)&amp;"","")</f>
        <v>302</v>
      </c>
      <c r="B453" s="84"/>
      <c r="C453" s="84"/>
      <c r="D453" s="85"/>
      <c r="E453" s="97" t="s">
        <v>736</v>
      </c>
      <c r="F453" s="87">
        <v>1</v>
      </c>
      <c r="H453" s="88" t="s">
        <v>232</v>
      </c>
      <c r="I453" s="89">
        <f t="shared" si="467"/>
        <v>0</v>
      </c>
      <c r="J453" s="90">
        <f t="shared" si="459"/>
        <v>1</v>
      </c>
      <c r="K453" s="91">
        <f t="shared" si="460"/>
        <v>0</v>
      </c>
      <c r="L453" s="92">
        <f t="shared" si="461"/>
        <v>0</v>
      </c>
      <c r="M453" s="93">
        <f t="shared" si="462"/>
        <v>0</v>
      </c>
      <c r="N453" s="94">
        <f t="shared" si="463"/>
        <v>0</v>
      </c>
      <c r="O453" s="94">
        <f t="shared" si="464"/>
        <v>0</v>
      </c>
      <c r="P453" s="92">
        <f t="shared" si="465"/>
        <v>0</v>
      </c>
      <c r="Q453" s="95">
        <f t="shared" si="466"/>
        <v>0</v>
      </c>
      <c r="R453" s="96"/>
    </row>
    <row r="454" spans="1:18" x14ac:dyDescent="0.3">
      <c r="A454" s="83" t="str">
        <f>IF(TRIM(H454)&lt;&gt;"",COUNTA(H$9:$H454)&amp;"","")</f>
        <v>303</v>
      </c>
      <c r="B454" s="84"/>
      <c r="C454" s="84"/>
      <c r="D454" s="85"/>
      <c r="E454" s="97" t="s">
        <v>737</v>
      </c>
      <c r="F454" s="87">
        <v>1</v>
      </c>
      <c r="H454" s="88" t="s">
        <v>232</v>
      </c>
      <c r="I454" s="89">
        <f t="shared" si="467"/>
        <v>0</v>
      </c>
      <c r="J454" s="90">
        <f t="shared" si="459"/>
        <v>1</v>
      </c>
      <c r="K454" s="91">
        <f t="shared" si="460"/>
        <v>0</v>
      </c>
      <c r="L454" s="92">
        <f t="shared" si="461"/>
        <v>0</v>
      </c>
      <c r="M454" s="93">
        <f t="shared" si="462"/>
        <v>0</v>
      </c>
      <c r="N454" s="94">
        <f t="shared" si="463"/>
        <v>0</v>
      </c>
      <c r="O454" s="94">
        <f t="shared" si="464"/>
        <v>0</v>
      </c>
      <c r="P454" s="92">
        <f t="shared" si="465"/>
        <v>0</v>
      </c>
      <c r="Q454" s="95">
        <f t="shared" si="466"/>
        <v>0</v>
      </c>
      <c r="R454" s="96"/>
    </row>
    <row r="455" spans="1:18" x14ac:dyDescent="0.3">
      <c r="A455" s="83" t="str">
        <f>IF(TRIM(H455)&lt;&gt;"",COUNTA(H$9:$H455)&amp;"","")</f>
        <v>304</v>
      </c>
      <c r="B455" s="84"/>
      <c r="C455" s="84"/>
      <c r="D455" s="85"/>
      <c r="E455" s="97" t="s">
        <v>738</v>
      </c>
      <c r="F455" s="87">
        <v>7</v>
      </c>
      <c r="H455" s="88" t="s">
        <v>232</v>
      </c>
      <c r="I455" s="89">
        <f t="shared" si="467"/>
        <v>0</v>
      </c>
      <c r="J455" s="90">
        <f t="shared" si="459"/>
        <v>7</v>
      </c>
      <c r="K455" s="91">
        <f t="shared" si="460"/>
        <v>0</v>
      </c>
      <c r="L455" s="92">
        <f t="shared" si="461"/>
        <v>0</v>
      </c>
      <c r="M455" s="93">
        <f t="shared" si="462"/>
        <v>0</v>
      </c>
      <c r="N455" s="94">
        <f t="shared" si="463"/>
        <v>0</v>
      </c>
      <c r="O455" s="94">
        <f t="shared" si="464"/>
        <v>0</v>
      </c>
      <c r="P455" s="92">
        <f t="shared" si="465"/>
        <v>0</v>
      </c>
      <c r="Q455" s="95">
        <f t="shared" si="466"/>
        <v>0</v>
      </c>
      <c r="R455" s="96"/>
    </row>
    <row r="456" spans="1:18" x14ac:dyDescent="0.3">
      <c r="A456" s="83" t="str">
        <f>IF(TRIM(H456)&lt;&gt;"",COUNTA(H$9:$H456)&amp;"","")</f>
        <v>305</v>
      </c>
      <c r="B456" s="84"/>
      <c r="C456" s="84"/>
      <c r="D456" s="85"/>
      <c r="E456" s="97" t="s">
        <v>739</v>
      </c>
      <c r="F456" s="87">
        <v>1</v>
      </c>
      <c r="H456" s="88" t="s">
        <v>232</v>
      </c>
      <c r="I456" s="89">
        <f t="shared" si="467"/>
        <v>0</v>
      </c>
      <c r="J456" s="90">
        <f t="shared" si="459"/>
        <v>1</v>
      </c>
      <c r="K456" s="91">
        <f t="shared" si="460"/>
        <v>0</v>
      </c>
      <c r="L456" s="92">
        <f t="shared" si="461"/>
        <v>0</v>
      </c>
      <c r="M456" s="93">
        <f t="shared" si="462"/>
        <v>0</v>
      </c>
      <c r="N456" s="94">
        <f t="shared" si="463"/>
        <v>0</v>
      </c>
      <c r="O456" s="94">
        <f t="shared" si="464"/>
        <v>0</v>
      </c>
      <c r="P456" s="92">
        <f t="shared" si="465"/>
        <v>0</v>
      </c>
      <c r="Q456" s="95">
        <f t="shared" si="466"/>
        <v>0</v>
      </c>
      <c r="R456" s="96"/>
    </row>
    <row r="457" spans="1:18" x14ac:dyDescent="0.3">
      <c r="A457" s="83" t="str">
        <f>IF(TRIM(H457)&lt;&gt;"",COUNTA(H$9:$H457)&amp;"","")</f>
        <v>306</v>
      </c>
      <c r="B457" s="84"/>
      <c r="C457" s="84"/>
      <c r="D457" s="85"/>
      <c r="E457" s="97" t="s">
        <v>740</v>
      </c>
      <c r="F457" s="87">
        <v>1</v>
      </c>
      <c r="H457" s="88" t="s">
        <v>232</v>
      </c>
      <c r="I457" s="89">
        <f t="shared" si="467"/>
        <v>0</v>
      </c>
      <c r="J457" s="90">
        <f t="shared" si="459"/>
        <v>1</v>
      </c>
      <c r="K457" s="91">
        <f t="shared" si="460"/>
        <v>0</v>
      </c>
      <c r="L457" s="92">
        <f t="shared" si="461"/>
        <v>0</v>
      </c>
      <c r="M457" s="93">
        <f t="shared" si="462"/>
        <v>0</v>
      </c>
      <c r="N457" s="94">
        <f t="shared" si="463"/>
        <v>0</v>
      </c>
      <c r="O457" s="94">
        <f t="shared" si="464"/>
        <v>0</v>
      </c>
      <c r="P457" s="92">
        <f t="shared" si="465"/>
        <v>0</v>
      </c>
      <c r="Q457" s="95">
        <f t="shared" si="466"/>
        <v>0</v>
      </c>
      <c r="R457" s="96"/>
    </row>
    <row r="458" spans="1:18" x14ac:dyDescent="0.3">
      <c r="A458" s="83" t="str">
        <f>IF(TRIM(H458)&lt;&gt;"",COUNTA(H$9:$H458)&amp;"","")</f>
        <v>307</v>
      </c>
      <c r="B458" s="84"/>
      <c r="C458" s="84"/>
      <c r="D458" s="85"/>
      <c r="E458" s="97" t="s">
        <v>741</v>
      </c>
      <c r="F458" s="87">
        <v>33</v>
      </c>
      <c r="H458" s="88" t="s">
        <v>232</v>
      </c>
      <c r="I458" s="89">
        <f t="shared" si="467"/>
        <v>0</v>
      </c>
      <c r="J458" s="90">
        <f t="shared" si="459"/>
        <v>33</v>
      </c>
      <c r="K458" s="91">
        <f t="shared" si="460"/>
        <v>0</v>
      </c>
      <c r="L458" s="92">
        <f t="shared" si="461"/>
        <v>0</v>
      </c>
      <c r="M458" s="93">
        <f t="shared" si="462"/>
        <v>0</v>
      </c>
      <c r="N458" s="94">
        <f t="shared" si="463"/>
        <v>0</v>
      </c>
      <c r="O458" s="94">
        <f t="shared" si="464"/>
        <v>0</v>
      </c>
      <c r="P458" s="92">
        <f t="shared" si="465"/>
        <v>0</v>
      </c>
      <c r="Q458" s="95">
        <f t="shared" si="466"/>
        <v>0</v>
      </c>
      <c r="R458" s="96"/>
    </row>
    <row r="459" spans="1:18" x14ac:dyDescent="0.3">
      <c r="A459" s="83" t="str">
        <f>IF(TRIM(H459)&lt;&gt;"",COUNTA(H$9:$H459)&amp;"","")</f>
        <v>308</v>
      </c>
      <c r="B459" s="84"/>
      <c r="C459" s="84"/>
      <c r="D459" s="85"/>
      <c r="E459" s="97" t="s">
        <v>742</v>
      </c>
      <c r="F459" s="87">
        <v>1</v>
      </c>
      <c r="H459" s="88" t="s">
        <v>232</v>
      </c>
      <c r="I459" s="89">
        <f t="shared" si="467"/>
        <v>0</v>
      </c>
      <c r="J459" s="90">
        <f t="shared" si="459"/>
        <v>1</v>
      </c>
      <c r="K459" s="91">
        <f t="shared" si="460"/>
        <v>0</v>
      </c>
      <c r="L459" s="92">
        <f t="shared" si="461"/>
        <v>0</v>
      </c>
      <c r="M459" s="93">
        <f t="shared" si="462"/>
        <v>0</v>
      </c>
      <c r="N459" s="94">
        <f t="shared" si="463"/>
        <v>0</v>
      </c>
      <c r="O459" s="94">
        <f t="shared" si="464"/>
        <v>0</v>
      </c>
      <c r="P459" s="92">
        <f t="shared" si="465"/>
        <v>0</v>
      </c>
      <c r="Q459" s="95">
        <f t="shared" si="466"/>
        <v>0</v>
      </c>
      <c r="R459" s="96"/>
    </row>
    <row r="460" spans="1:18" x14ac:dyDescent="0.3">
      <c r="A460" s="83" t="str">
        <f>IF(TRIM(H460)&lt;&gt;"",COUNTA(H$9:$H460)&amp;"","")</f>
        <v>309</v>
      </c>
      <c r="B460" s="84"/>
      <c r="C460" s="84"/>
      <c r="D460" s="85"/>
      <c r="E460" s="97" t="s">
        <v>743</v>
      </c>
      <c r="F460" s="87">
        <v>37</v>
      </c>
      <c r="H460" s="88" t="s">
        <v>232</v>
      </c>
      <c r="I460" s="89">
        <f t="shared" si="467"/>
        <v>0</v>
      </c>
      <c r="J460" s="90">
        <f t="shared" si="459"/>
        <v>37</v>
      </c>
      <c r="K460" s="91">
        <f t="shared" si="460"/>
        <v>0</v>
      </c>
      <c r="L460" s="92">
        <f t="shared" si="461"/>
        <v>0</v>
      </c>
      <c r="M460" s="93">
        <f t="shared" si="462"/>
        <v>0</v>
      </c>
      <c r="N460" s="94">
        <f t="shared" si="463"/>
        <v>0</v>
      </c>
      <c r="O460" s="94">
        <f t="shared" si="464"/>
        <v>0</v>
      </c>
      <c r="P460" s="92">
        <f t="shared" si="465"/>
        <v>0</v>
      </c>
      <c r="Q460" s="95">
        <f t="shared" si="466"/>
        <v>0</v>
      </c>
      <c r="R460" s="96"/>
    </row>
    <row r="461" spans="1:18" x14ac:dyDescent="0.3">
      <c r="A461" s="83" t="str">
        <f>IF(TRIM(H461)&lt;&gt;"",COUNTA(H$9:$H461)&amp;"","")</f>
        <v>310</v>
      </c>
      <c r="B461" s="84"/>
      <c r="C461" s="84"/>
      <c r="D461" s="85"/>
      <c r="E461" s="97" t="s">
        <v>744</v>
      </c>
      <c r="F461" s="87">
        <v>8</v>
      </c>
      <c r="H461" s="88" t="s">
        <v>232</v>
      </c>
      <c r="I461" s="89">
        <f t="shared" si="467"/>
        <v>0</v>
      </c>
      <c r="J461" s="90">
        <f t="shared" si="459"/>
        <v>8</v>
      </c>
      <c r="K461" s="91">
        <f t="shared" si="460"/>
        <v>0</v>
      </c>
      <c r="L461" s="92">
        <f t="shared" si="461"/>
        <v>0</v>
      </c>
      <c r="M461" s="93">
        <f t="shared" si="462"/>
        <v>0</v>
      </c>
      <c r="N461" s="94">
        <f t="shared" si="463"/>
        <v>0</v>
      </c>
      <c r="O461" s="94">
        <f t="shared" si="464"/>
        <v>0</v>
      </c>
      <c r="P461" s="92">
        <f t="shared" si="465"/>
        <v>0</v>
      </c>
      <c r="Q461" s="95">
        <f t="shared" si="466"/>
        <v>0</v>
      </c>
      <c r="R461" s="96"/>
    </row>
    <row r="462" spans="1:18" x14ac:dyDescent="0.3">
      <c r="A462" s="83" t="str">
        <f>IF(TRIM(H462)&lt;&gt;"",COUNTA(H$9:$H462)&amp;"","")</f>
        <v>311</v>
      </c>
      <c r="B462" s="84"/>
      <c r="C462" s="84"/>
      <c r="D462" s="85"/>
      <c r="E462" s="97" t="s">
        <v>745</v>
      </c>
      <c r="F462" s="87">
        <v>1</v>
      </c>
      <c r="H462" s="88" t="s">
        <v>232</v>
      </c>
      <c r="I462" s="89">
        <f t="shared" si="467"/>
        <v>0</v>
      </c>
      <c r="J462" s="90">
        <f t="shared" si="459"/>
        <v>1</v>
      </c>
      <c r="K462" s="91">
        <f t="shared" si="460"/>
        <v>0</v>
      </c>
      <c r="L462" s="92">
        <f t="shared" si="461"/>
        <v>0</v>
      </c>
      <c r="M462" s="93">
        <f t="shared" si="462"/>
        <v>0</v>
      </c>
      <c r="N462" s="94">
        <f t="shared" si="463"/>
        <v>0</v>
      </c>
      <c r="O462" s="94">
        <f t="shared" si="464"/>
        <v>0</v>
      </c>
      <c r="P462" s="92">
        <f t="shared" si="465"/>
        <v>0</v>
      </c>
      <c r="Q462" s="95">
        <f t="shared" si="466"/>
        <v>0</v>
      </c>
      <c r="R462" s="96"/>
    </row>
    <row r="463" spans="1:18" ht="27.6" x14ac:dyDescent="0.3">
      <c r="A463" s="83" t="str">
        <f>IF(TRIM(H463)&lt;&gt;"",COUNTA(H$9:$H463)&amp;"","")</f>
        <v>312</v>
      </c>
      <c r="B463" s="84"/>
      <c r="C463" s="84"/>
      <c r="D463" s="85"/>
      <c r="E463" s="97" t="s">
        <v>746</v>
      </c>
      <c r="F463" s="87">
        <v>3</v>
      </c>
      <c r="H463" s="88" t="s">
        <v>232</v>
      </c>
      <c r="I463" s="89">
        <f t="shared" si="467"/>
        <v>0</v>
      </c>
      <c r="J463" s="90">
        <f t="shared" si="459"/>
        <v>3</v>
      </c>
      <c r="K463" s="91">
        <f t="shared" si="460"/>
        <v>0</v>
      </c>
      <c r="L463" s="92">
        <f t="shared" si="461"/>
        <v>0</v>
      </c>
      <c r="M463" s="93">
        <f t="shared" si="462"/>
        <v>0</v>
      </c>
      <c r="N463" s="94">
        <f t="shared" si="463"/>
        <v>0</v>
      </c>
      <c r="O463" s="94">
        <f t="shared" si="464"/>
        <v>0</v>
      </c>
      <c r="P463" s="92">
        <f t="shared" si="465"/>
        <v>0</v>
      </c>
      <c r="Q463" s="95">
        <f t="shared" si="466"/>
        <v>0</v>
      </c>
      <c r="R463" s="96"/>
    </row>
    <row r="464" spans="1:18" x14ac:dyDescent="0.3">
      <c r="A464" s="83"/>
      <c r="B464" s="84"/>
      <c r="C464" s="84"/>
      <c r="D464" s="85"/>
      <c r="E464" s="97"/>
      <c r="F464" s="87"/>
      <c r="H464" s="88"/>
      <c r="I464" s="89"/>
      <c r="J464" s="90"/>
      <c r="K464" s="91"/>
      <c r="L464" s="92"/>
      <c r="M464" s="93"/>
      <c r="N464" s="94"/>
      <c r="O464" s="94"/>
      <c r="P464" s="92"/>
      <c r="Q464" s="95"/>
      <c r="R464" s="96"/>
    </row>
    <row r="465" spans="1:18" s="113" customFormat="1" ht="19.2" customHeight="1" x14ac:dyDescent="0.3">
      <c r="A465" s="83"/>
      <c r="B465" s="112"/>
      <c r="C465" s="112"/>
      <c r="D465" s="85"/>
      <c r="E465" s="121" t="s">
        <v>593</v>
      </c>
      <c r="F465" s="87"/>
      <c r="H465" s="88"/>
      <c r="I465" s="89"/>
      <c r="J465" s="90"/>
      <c r="K465" s="91"/>
      <c r="L465" s="92"/>
      <c r="M465" s="93"/>
      <c r="N465" s="94"/>
      <c r="O465" s="94"/>
      <c r="P465" s="92"/>
      <c r="Q465" s="95"/>
      <c r="R465" s="96"/>
    </row>
    <row r="466" spans="1:18" ht="27.6" x14ac:dyDescent="0.3">
      <c r="A466" s="83" t="str">
        <f>IF(TRIM(H466)&lt;&gt;"",COUNTA(H$9:$H466)&amp;"","")</f>
        <v>313</v>
      </c>
      <c r="B466" s="84"/>
      <c r="C466" s="84"/>
      <c r="D466" s="85"/>
      <c r="E466" s="97" t="s">
        <v>747</v>
      </c>
      <c r="F466" s="87">
        <v>1</v>
      </c>
      <c r="H466" s="88" t="s">
        <v>181</v>
      </c>
      <c r="I466" s="89">
        <v>0</v>
      </c>
      <c r="J466" s="90">
        <f t="shared" ref="J466:J480" si="468">IF(F466=0,"",F466+(F466*I466))</f>
        <v>1</v>
      </c>
      <c r="K466" s="91">
        <f t="shared" ref="K466:K480" si="469">IF(F466=0,"",0)</f>
        <v>0</v>
      </c>
      <c r="L466" s="92">
        <f t="shared" ref="L466:L480" si="470">IF(F466=0,"",K466*J466)</f>
        <v>0</v>
      </c>
      <c r="M466" s="93">
        <f t="shared" ref="M466:M480" si="471">IF(F466=0,"",M$7)</f>
        <v>0</v>
      </c>
      <c r="N466" s="94">
        <f t="shared" ref="N466:N480" si="472">IF(F466=0,"",0)</f>
        <v>0</v>
      </c>
      <c r="O466" s="94">
        <f t="shared" ref="O466:O480" si="473">IF(F466=0,"",N466*J466)</f>
        <v>0</v>
      </c>
      <c r="P466" s="92">
        <f t="shared" ref="P466:P480" si="474">IF(F466=0,"",O466*M466)</f>
        <v>0</v>
      </c>
      <c r="Q466" s="95">
        <f t="shared" ref="Q466:Q480" si="475">IF(F466=0,"",L466+P466)</f>
        <v>0</v>
      </c>
      <c r="R466" s="96"/>
    </row>
    <row r="467" spans="1:18" x14ac:dyDescent="0.3">
      <c r="A467" s="83" t="str">
        <f>IF(TRIM(H467)&lt;&gt;"",COUNTA(H$9:$H467)&amp;"","")</f>
        <v>314</v>
      </c>
      <c r="B467" s="84"/>
      <c r="C467" s="84"/>
      <c r="D467" s="85"/>
      <c r="E467" s="97" t="s">
        <v>748</v>
      </c>
      <c r="F467" s="87">
        <v>152.74</v>
      </c>
      <c r="H467" s="88" t="s">
        <v>175</v>
      </c>
      <c r="I467" s="89">
        <v>0.05</v>
      </c>
      <c r="J467" s="90">
        <f t="shared" si="468"/>
        <v>160.37700000000001</v>
      </c>
      <c r="K467" s="91">
        <f t="shared" si="469"/>
        <v>0</v>
      </c>
      <c r="L467" s="92">
        <f t="shared" si="470"/>
        <v>0</v>
      </c>
      <c r="M467" s="93">
        <f t="shared" si="471"/>
        <v>0</v>
      </c>
      <c r="N467" s="94">
        <f t="shared" si="472"/>
        <v>0</v>
      </c>
      <c r="O467" s="94">
        <f t="shared" si="473"/>
        <v>0</v>
      </c>
      <c r="P467" s="92">
        <f t="shared" si="474"/>
        <v>0</v>
      </c>
      <c r="Q467" s="95">
        <f t="shared" si="475"/>
        <v>0</v>
      </c>
      <c r="R467" s="96"/>
    </row>
    <row r="468" spans="1:18" x14ac:dyDescent="0.3">
      <c r="A468" s="83" t="str">
        <f>IF(TRIM(H468)&lt;&gt;"",COUNTA(H$9:$H468)&amp;"","")</f>
        <v>315</v>
      </c>
      <c r="B468" s="84"/>
      <c r="C468" s="84"/>
      <c r="D468" s="85"/>
      <c r="E468" s="97" t="s">
        <v>749</v>
      </c>
      <c r="F468" s="87">
        <v>30</v>
      </c>
      <c r="H468" s="88" t="s">
        <v>175</v>
      </c>
      <c r="I468" s="89">
        <v>0.05</v>
      </c>
      <c r="J468" s="90">
        <f t="shared" si="468"/>
        <v>31.5</v>
      </c>
      <c r="K468" s="91">
        <f t="shared" si="469"/>
        <v>0</v>
      </c>
      <c r="L468" s="92">
        <f t="shared" si="470"/>
        <v>0</v>
      </c>
      <c r="M468" s="93">
        <f t="shared" si="471"/>
        <v>0</v>
      </c>
      <c r="N468" s="94">
        <f t="shared" si="472"/>
        <v>0</v>
      </c>
      <c r="O468" s="94">
        <f t="shared" si="473"/>
        <v>0</v>
      </c>
      <c r="P468" s="92">
        <f t="shared" si="474"/>
        <v>0</v>
      </c>
      <c r="Q468" s="95">
        <f t="shared" si="475"/>
        <v>0</v>
      </c>
      <c r="R468" s="96"/>
    </row>
    <row r="469" spans="1:18" x14ac:dyDescent="0.3">
      <c r="A469" s="83" t="str">
        <f>IF(TRIM(H469)&lt;&gt;"",COUNTA(H$9:$H469)&amp;"","")</f>
        <v>316</v>
      </c>
      <c r="B469" s="84"/>
      <c r="C469" s="84"/>
      <c r="D469" s="85"/>
      <c r="E469" s="97" t="s">
        <v>750</v>
      </c>
      <c r="F469" s="87">
        <v>152</v>
      </c>
      <c r="H469" s="88" t="s">
        <v>232</v>
      </c>
      <c r="I469" s="89">
        <f t="shared" ref="I469:I480" si="476">IF(F469=0,"",0)</f>
        <v>0</v>
      </c>
      <c r="J469" s="90">
        <f t="shared" si="468"/>
        <v>152</v>
      </c>
      <c r="K469" s="91">
        <f t="shared" si="469"/>
        <v>0</v>
      </c>
      <c r="L469" s="92">
        <f t="shared" si="470"/>
        <v>0</v>
      </c>
      <c r="M469" s="93">
        <f t="shared" si="471"/>
        <v>0</v>
      </c>
      <c r="N469" s="94">
        <f t="shared" si="472"/>
        <v>0</v>
      </c>
      <c r="O469" s="94">
        <f t="shared" si="473"/>
        <v>0</v>
      </c>
      <c r="P469" s="92">
        <f t="shared" si="474"/>
        <v>0</v>
      </c>
      <c r="Q469" s="95">
        <f t="shared" si="475"/>
        <v>0</v>
      </c>
      <c r="R469" s="96"/>
    </row>
    <row r="470" spans="1:18" x14ac:dyDescent="0.3">
      <c r="A470" s="83" t="str">
        <f>IF(TRIM(H470)&lt;&gt;"",COUNTA(H$9:$H470)&amp;"","")</f>
        <v>317</v>
      </c>
      <c r="B470" s="84"/>
      <c r="C470" s="84"/>
      <c r="D470" s="85"/>
      <c r="E470" s="97" t="s">
        <v>751</v>
      </c>
      <c r="F470" s="87">
        <v>14</v>
      </c>
      <c r="H470" s="88" t="s">
        <v>232</v>
      </c>
      <c r="I470" s="89">
        <f t="shared" si="476"/>
        <v>0</v>
      </c>
      <c r="J470" s="90">
        <f t="shared" si="468"/>
        <v>14</v>
      </c>
      <c r="K470" s="91">
        <f t="shared" si="469"/>
        <v>0</v>
      </c>
      <c r="L470" s="92">
        <f t="shared" si="470"/>
        <v>0</v>
      </c>
      <c r="M470" s="93">
        <f t="shared" si="471"/>
        <v>0</v>
      </c>
      <c r="N470" s="94">
        <f t="shared" si="472"/>
        <v>0</v>
      </c>
      <c r="O470" s="94">
        <f t="shared" si="473"/>
        <v>0</v>
      </c>
      <c r="P470" s="92">
        <f t="shared" si="474"/>
        <v>0</v>
      </c>
      <c r="Q470" s="95">
        <f t="shared" si="475"/>
        <v>0</v>
      </c>
      <c r="R470" s="96"/>
    </row>
    <row r="471" spans="1:18" x14ac:dyDescent="0.3">
      <c r="A471" s="83" t="str">
        <f>IF(TRIM(H471)&lt;&gt;"",COUNTA(H$9:$H471)&amp;"","")</f>
        <v>318</v>
      </c>
      <c r="B471" s="84"/>
      <c r="C471" s="84"/>
      <c r="D471" s="85"/>
      <c r="E471" s="97" t="s">
        <v>752</v>
      </c>
      <c r="F471" s="87">
        <v>5</v>
      </c>
      <c r="H471" s="88" t="s">
        <v>232</v>
      </c>
      <c r="I471" s="89">
        <f t="shared" si="476"/>
        <v>0</v>
      </c>
      <c r="J471" s="90">
        <f t="shared" si="468"/>
        <v>5</v>
      </c>
      <c r="K471" s="91">
        <f t="shared" si="469"/>
        <v>0</v>
      </c>
      <c r="L471" s="92">
        <f t="shared" si="470"/>
        <v>0</v>
      </c>
      <c r="M471" s="93">
        <f t="shared" si="471"/>
        <v>0</v>
      </c>
      <c r="N471" s="94">
        <f t="shared" si="472"/>
        <v>0</v>
      </c>
      <c r="O471" s="94">
        <f t="shared" si="473"/>
        <v>0</v>
      </c>
      <c r="P471" s="92">
        <f t="shared" si="474"/>
        <v>0</v>
      </c>
      <c r="Q471" s="95">
        <f t="shared" si="475"/>
        <v>0</v>
      </c>
      <c r="R471" s="96"/>
    </row>
    <row r="472" spans="1:18" x14ac:dyDescent="0.3">
      <c r="A472" s="83" t="str">
        <f>IF(TRIM(H472)&lt;&gt;"",COUNTA(H$9:$H472)&amp;"","")</f>
        <v>319</v>
      </c>
      <c r="B472" s="84"/>
      <c r="C472" s="84"/>
      <c r="D472" s="85"/>
      <c r="E472" s="97" t="s">
        <v>753</v>
      </c>
      <c r="F472" s="87">
        <v>13</v>
      </c>
      <c r="H472" s="88" t="s">
        <v>232</v>
      </c>
      <c r="I472" s="89">
        <f t="shared" si="476"/>
        <v>0</v>
      </c>
      <c r="J472" s="90">
        <f t="shared" si="468"/>
        <v>13</v>
      </c>
      <c r="K472" s="91">
        <f t="shared" si="469"/>
        <v>0</v>
      </c>
      <c r="L472" s="92">
        <f t="shared" si="470"/>
        <v>0</v>
      </c>
      <c r="M472" s="93">
        <f t="shared" si="471"/>
        <v>0</v>
      </c>
      <c r="N472" s="94">
        <f t="shared" si="472"/>
        <v>0</v>
      </c>
      <c r="O472" s="94">
        <f t="shared" si="473"/>
        <v>0</v>
      </c>
      <c r="P472" s="92">
        <f t="shared" si="474"/>
        <v>0</v>
      </c>
      <c r="Q472" s="95">
        <f t="shared" si="475"/>
        <v>0</v>
      </c>
      <c r="R472" s="96"/>
    </row>
    <row r="473" spans="1:18" x14ac:dyDescent="0.3">
      <c r="A473" s="83" t="str">
        <f>IF(TRIM(H473)&lt;&gt;"",COUNTA(H$9:$H473)&amp;"","")</f>
        <v>320</v>
      </c>
      <c r="B473" s="84"/>
      <c r="C473" s="84"/>
      <c r="D473" s="85"/>
      <c r="E473" s="97" t="s">
        <v>754</v>
      </c>
      <c r="F473" s="87">
        <v>2</v>
      </c>
      <c r="H473" s="88" t="s">
        <v>232</v>
      </c>
      <c r="I473" s="89">
        <f t="shared" si="476"/>
        <v>0</v>
      </c>
      <c r="J473" s="90">
        <f t="shared" si="468"/>
        <v>2</v>
      </c>
      <c r="K473" s="91">
        <f t="shared" si="469"/>
        <v>0</v>
      </c>
      <c r="L473" s="92">
        <f t="shared" si="470"/>
        <v>0</v>
      </c>
      <c r="M473" s="93">
        <f t="shared" si="471"/>
        <v>0</v>
      </c>
      <c r="N473" s="94">
        <f t="shared" si="472"/>
        <v>0</v>
      </c>
      <c r="O473" s="94">
        <f t="shared" si="473"/>
        <v>0</v>
      </c>
      <c r="P473" s="92">
        <f t="shared" si="474"/>
        <v>0</v>
      </c>
      <c r="Q473" s="95">
        <f t="shared" si="475"/>
        <v>0</v>
      </c>
      <c r="R473" s="96"/>
    </row>
    <row r="474" spans="1:18" x14ac:dyDescent="0.3">
      <c r="A474" s="83" t="str">
        <f>IF(TRIM(H474)&lt;&gt;"",COUNTA(H$9:$H474)&amp;"","")</f>
        <v>321</v>
      </c>
      <c r="B474" s="84"/>
      <c r="C474" s="84"/>
      <c r="D474" s="85"/>
      <c r="E474" s="97" t="s">
        <v>755</v>
      </c>
      <c r="F474" s="87">
        <v>9</v>
      </c>
      <c r="H474" s="88" t="s">
        <v>232</v>
      </c>
      <c r="I474" s="89">
        <f t="shared" si="476"/>
        <v>0</v>
      </c>
      <c r="J474" s="90">
        <f t="shared" si="468"/>
        <v>9</v>
      </c>
      <c r="K474" s="91">
        <f t="shared" si="469"/>
        <v>0</v>
      </c>
      <c r="L474" s="92">
        <f t="shared" si="470"/>
        <v>0</v>
      </c>
      <c r="M474" s="93">
        <f t="shared" si="471"/>
        <v>0</v>
      </c>
      <c r="N474" s="94">
        <f t="shared" si="472"/>
        <v>0</v>
      </c>
      <c r="O474" s="94">
        <f t="shared" si="473"/>
        <v>0</v>
      </c>
      <c r="P474" s="92">
        <f t="shared" si="474"/>
        <v>0</v>
      </c>
      <c r="Q474" s="95">
        <f t="shared" si="475"/>
        <v>0</v>
      </c>
      <c r="R474" s="96"/>
    </row>
    <row r="475" spans="1:18" x14ac:dyDescent="0.3">
      <c r="A475" s="83" t="str">
        <f>IF(TRIM(H475)&lt;&gt;"",COUNTA(H$9:$H475)&amp;"","")</f>
        <v>322</v>
      </c>
      <c r="B475" s="84"/>
      <c r="C475" s="84"/>
      <c r="D475" s="85"/>
      <c r="E475" s="97" t="s">
        <v>756</v>
      </c>
      <c r="F475" s="87">
        <v>46</v>
      </c>
      <c r="H475" s="88" t="s">
        <v>232</v>
      </c>
      <c r="I475" s="89">
        <f t="shared" si="476"/>
        <v>0</v>
      </c>
      <c r="J475" s="90">
        <f t="shared" si="468"/>
        <v>46</v>
      </c>
      <c r="K475" s="91">
        <f t="shared" si="469"/>
        <v>0</v>
      </c>
      <c r="L475" s="92">
        <f t="shared" si="470"/>
        <v>0</v>
      </c>
      <c r="M475" s="93">
        <f t="shared" si="471"/>
        <v>0</v>
      </c>
      <c r="N475" s="94">
        <f t="shared" si="472"/>
        <v>0</v>
      </c>
      <c r="O475" s="94">
        <f t="shared" si="473"/>
        <v>0</v>
      </c>
      <c r="P475" s="92">
        <f t="shared" si="474"/>
        <v>0</v>
      </c>
      <c r="Q475" s="95">
        <f t="shared" si="475"/>
        <v>0</v>
      </c>
      <c r="R475" s="96"/>
    </row>
    <row r="476" spans="1:18" x14ac:dyDescent="0.3">
      <c r="A476" s="83" t="str">
        <f>IF(TRIM(H476)&lt;&gt;"",COUNTA(H$9:$H476)&amp;"","")</f>
        <v>323</v>
      </c>
      <c r="B476" s="84"/>
      <c r="C476" s="84"/>
      <c r="D476" s="85"/>
      <c r="E476" s="97" t="s">
        <v>757</v>
      </c>
      <c r="F476" s="87">
        <v>19</v>
      </c>
      <c r="H476" s="88" t="s">
        <v>232</v>
      </c>
      <c r="I476" s="89">
        <f t="shared" si="476"/>
        <v>0</v>
      </c>
      <c r="J476" s="90">
        <f t="shared" si="468"/>
        <v>19</v>
      </c>
      <c r="K476" s="91">
        <f t="shared" si="469"/>
        <v>0</v>
      </c>
      <c r="L476" s="92">
        <f t="shared" si="470"/>
        <v>0</v>
      </c>
      <c r="M476" s="93">
        <f t="shared" si="471"/>
        <v>0</v>
      </c>
      <c r="N476" s="94">
        <f t="shared" si="472"/>
        <v>0</v>
      </c>
      <c r="O476" s="94">
        <f t="shared" si="473"/>
        <v>0</v>
      </c>
      <c r="P476" s="92">
        <f t="shared" si="474"/>
        <v>0</v>
      </c>
      <c r="Q476" s="95">
        <f t="shared" si="475"/>
        <v>0</v>
      </c>
      <c r="R476" s="96"/>
    </row>
    <row r="477" spans="1:18" x14ac:dyDescent="0.3">
      <c r="A477" s="83" t="str">
        <f>IF(TRIM(H477)&lt;&gt;"",COUNTA(H$9:$H477)&amp;"","")</f>
        <v>324</v>
      </c>
      <c r="B477" s="84"/>
      <c r="C477" s="84"/>
      <c r="D477" s="85"/>
      <c r="E477" s="97" t="s">
        <v>758</v>
      </c>
      <c r="F477" s="87">
        <v>1</v>
      </c>
      <c r="H477" s="88" t="s">
        <v>232</v>
      </c>
      <c r="I477" s="89">
        <f t="shared" si="476"/>
        <v>0</v>
      </c>
      <c r="J477" s="90">
        <f t="shared" si="468"/>
        <v>1</v>
      </c>
      <c r="K477" s="91">
        <f t="shared" si="469"/>
        <v>0</v>
      </c>
      <c r="L477" s="92">
        <f t="shared" si="470"/>
        <v>0</v>
      </c>
      <c r="M477" s="93">
        <f t="shared" si="471"/>
        <v>0</v>
      </c>
      <c r="N477" s="94">
        <f t="shared" si="472"/>
        <v>0</v>
      </c>
      <c r="O477" s="94">
        <f t="shared" si="473"/>
        <v>0</v>
      </c>
      <c r="P477" s="92">
        <f t="shared" si="474"/>
        <v>0</v>
      </c>
      <c r="Q477" s="95">
        <f t="shared" si="475"/>
        <v>0</v>
      </c>
      <c r="R477" s="96"/>
    </row>
    <row r="478" spans="1:18" x14ac:dyDescent="0.3">
      <c r="A478" s="83" t="str">
        <f>IF(TRIM(H478)&lt;&gt;"",COUNTA(H$9:$H478)&amp;"","")</f>
        <v>325</v>
      </c>
      <c r="B478" s="84"/>
      <c r="C478" s="84"/>
      <c r="D478" s="85"/>
      <c r="E478" s="97" t="s">
        <v>759</v>
      </c>
      <c r="F478" s="87">
        <v>48</v>
      </c>
      <c r="H478" s="88" t="s">
        <v>232</v>
      </c>
      <c r="I478" s="89">
        <f t="shared" si="476"/>
        <v>0</v>
      </c>
      <c r="J478" s="90">
        <f t="shared" si="468"/>
        <v>48</v>
      </c>
      <c r="K478" s="91">
        <f t="shared" si="469"/>
        <v>0</v>
      </c>
      <c r="L478" s="92">
        <f t="shared" si="470"/>
        <v>0</v>
      </c>
      <c r="M478" s="93">
        <f t="shared" si="471"/>
        <v>0</v>
      </c>
      <c r="N478" s="94">
        <f t="shared" si="472"/>
        <v>0</v>
      </c>
      <c r="O478" s="94">
        <f t="shared" si="473"/>
        <v>0</v>
      </c>
      <c r="P478" s="92">
        <f t="shared" si="474"/>
        <v>0</v>
      </c>
      <c r="Q478" s="95">
        <f t="shared" si="475"/>
        <v>0</v>
      </c>
      <c r="R478" s="96"/>
    </row>
    <row r="479" spans="1:18" x14ac:dyDescent="0.3">
      <c r="A479" s="83" t="str">
        <f>IF(TRIM(H479)&lt;&gt;"",COUNTA(H$9:$H479)&amp;"","")</f>
        <v>326</v>
      </c>
      <c r="B479" s="84"/>
      <c r="C479" s="84"/>
      <c r="D479" s="85"/>
      <c r="E479" s="97" t="s">
        <v>760</v>
      </c>
      <c r="F479" s="87">
        <v>18</v>
      </c>
      <c r="H479" s="88" t="s">
        <v>232</v>
      </c>
      <c r="I479" s="89">
        <f t="shared" si="476"/>
        <v>0</v>
      </c>
      <c r="J479" s="90">
        <f t="shared" si="468"/>
        <v>18</v>
      </c>
      <c r="K479" s="91">
        <f t="shared" si="469"/>
        <v>0</v>
      </c>
      <c r="L479" s="92">
        <f t="shared" si="470"/>
        <v>0</v>
      </c>
      <c r="M479" s="93">
        <f t="shared" si="471"/>
        <v>0</v>
      </c>
      <c r="N479" s="94">
        <f t="shared" si="472"/>
        <v>0</v>
      </c>
      <c r="O479" s="94">
        <f t="shared" si="473"/>
        <v>0</v>
      </c>
      <c r="P479" s="92">
        <f t="shared" si="474"/>
        <v>0</v>
      </c>
      <c r="Q479" s="95">
        <f t="shared" si="475"/>
        <v>0</v>
      </c>
      <c r="R479" s="96"/>
    </row>
    <row r="480" spans="1:18" x14ac:dyDescent="0.3">
      <c r="A480" s="83" t="str">
        <f>IF(TRIM(H480)&lt;&gt;"",COUNTA(H$9:$H480)&amp;"","")</f>
        <v>327</v>
      </c>
      <c r="B480" s="84"/>
      <c r="C480" s="84"/>
      <c r="D480" s="85"/>
      <c r="E480" s="97" t="s">
        <v>761</v>
      </c>
      <c r="F480" s="87">
        <v>1</v>
      </c>
      <c r="H480" s="88" t="s">
        <v>232</v>
      </c>
      <c r="I480" s="89">
        <f t="shared" si="476"/>
        <v>0</v>
      </c>
      <c r="J480" s="90">
        <f t="shared" si="468"/>
        <v>1</v>
      </c>
      <c r="K480" s="91">
        <f t="shared" si="469"/>
        <v>0</v>
      </c>
      <c r="L480" s="92">
        <f t="shared" si="470"/>
        <v>0</v>
      </c>
      <c r="M480" s="93">
        <f t="shared" si="471"/>
        <v>0</v>
      </c>
      <c r="N480" s="94">
        <f t="shared" si="472"/>
        <v>0</v>
      </c>
      <c r="O480" s="94">
        <f t="shared" si="473"/>
        <v>0</v>
      </c>
      <c r="P480" s="92">
        <f t="shared" si="474"/>
        <v>0</v>
      </c>
      <c r="Q480" s="95">
        <f t="shared" si="475"/>
        <v>0</v>
      </c>
      <c r="R480" s="96"/>
    </row>
    <row r="481" spans="1:18" x14ac:dyDescent="0.3">
      <c r="A481" s="83"/>
      <c r="B481" s="84"/>
      <c r="C481" s="84"/>
      <c r="D481" s="85"/>
      <c r="E481" s="97"/>
      <c r="F481" s="87"/>
      <c r="H481" s="88"/>
      <c r="I481" s="89"/>
      <c r="J481" s="90"/>
      <c r="K481" s="91"/>
      <c r="L481" s="92"/>
      <c r="M481" s="93"/>
      <c r="N481" s="94"/>
      <c r="O481" s="94"/>
      <c r="P481" s="92"/>
      <c r="Q481" s="95"/>
      <c r="R481" s="96"/>
    </row>
    <row r="482" spans="1:18" s="113" customFormat="1" ht="19.2" customHeight="1" x14ac:dyDescent="0.3">
      <c r="A482" s="83"/>
      <c r="B482" s="112"/>
      <c r="C482" s="112"/>
      <c r="D482" s="85"/>
      <c r="E482" s="121" t="s">
        <v>762</v>
      </c>
      <c r="F482" s="87"/>
      <c r="H482" s="88"/>
      <c r="I482" s="89"/>
      <c r="J482" s="90"/>
      <c r="K482" s="91"/>
      <c r="L482" s="92"/>
      <c r="M482" s="93"/>
      <c r="N482" s="94"/>
      <c r="O482" s="94"/>
      <c r="P482" s="92"/>
      <c r="Q482" s="95"/>
      <c r="R482" s="96"/>
    </row>
    <row r="483" spans="1:18" x14ac:dyDescent="0.3">
      <c r="A483" s="83" t="str">
        <f>IF(TRIM(H483)&lt;&gt;"",COUNTA(H$9:$H483)&amp;"","")</f>
        <v>328</v>
      </c>
      <c r="B483" s="84"/>
      <c r="C483" s="84"/>
      <c r="D483" s="85"/>
      <c r="E483" s="97" t="s">
        <v>763</v>
      </c>
      <c r="F483" s="87">
        <v>52.62</v>
      </c>
      <c r="H483" s="88" t="s">
        <v>175</v>
      </c>
      <c r="I483" s="89">
        <v>0.05</v>
      </c>
      <c r="J483" s="90">
        <f t="shared" ref="J483" si="477">IF(F483=0,"",F483+(F483*I483))</f>
        <v>55.250999999999998</v>
      </c>
      <c r="K483" s="91">
        <f t="shared" ref="K483" si="478">IF(F483=0,"",0)</f>
        <v>0</v>
      </c>
      <c r="L483" s="92">
        <f t="shared" ref="L483" si="479">IF(F483=0,"",K483*J483)</f>
        <v>0</v>
      </c>
      <c r="M483" s="93">
        <f t="shared" ref="M483" si="480">IF(F483=0,"",M$7)</f>
        <v>0</v>
      </c>
      <c r="N483" s="94">
        <f t="shared" ref="N483" si="481">IF(F483=0,"",0)</f>
        <v>0</v>
      </c>
      <c r="O483" s="94">
        <f t="shared" ref="O483" si="482">IF(F483=0,"",N483*J483)</f>
        <v>0</v>
      </c>
      <c r="P483" s="92">
        <f t="shared" ref="P483" si="483">IF(F483=0,"",O483*M483)</f>
        <v>0</v>
      </c>
      <c r="Q483" s="95">
        <f t="shared" ref="Q483" si="484">IF(F483=0,"",L483+P483)</f>
        <v>0</v>
      </c>
      <c r="R483" s="96"/>
    </row>
    <row r="484" spans="1:18" x14ac:dyDescent="0.3">
      <c r="A484" s="83" t="str">
        <f>IF(TRIM(H484)&lt;&gt;"",COUNTA(H$9:$H484)&amp;"","")</f>
        <v/>
      </c>
      <c r="B484" s="84"/>
      <c r="C484" s="84"/>
      <c r="D484" s="85"/>
      <c r="E484" s="97"/>
      <c r="F484" s="87"/>
      <c r="H484" s="88"/>
      <c r="I484" s="89" t="str">
        <f t="shared" ref="I484:I576" si="485">IF(F484=0,"",0)</f>
        <v/>
      </c>
      <c r="J484" s="90" t="str">
        <f t="shared" ref="J484:J576" si="486">IF(F484=0,"",F484+(F484*I484))</f>
        <v/>
      </c>
      <c r="K484" s="91" t="str">
        <f t="shared" ref="K484:K576" si="487">IF(F484=0,"",0)</f>
        <v/>
      </c>
      <c r="L484" s="92" t="str">
        <f t="shared" ref="L484:L576" si="488">IF(F484=0,"",K484*J484)</f>
        <v/>
      </c>
      <c r="M484" s="93" t="str">
        <f t="shared" ref="M484:M576" si="489">IF(F484=0,"",M$7)</f>
        <v/>
      </c>
      <c r="N484" s="94" t="str">
        <f t="shared" ref="N484:N576" si="490">IF(F484=0,"",0)</f>
        <v/>
      </c>
      <c r="O484" s="94" t="str">
        <f t="shared" ref="O484:O576" si="491">IF(F484=0,"",N484*J484)</f>
        <v/>
      </c>
      <c r="P484" s="92" t="str">
        <f t="shared" ref="P484:P576" si="492">IF(F484=0,"",O484*M484)</f>
        <v/>
      </c>
      <c r="Q484" s="95" t="str">
        <f t="shared" ref="Q484:Q576" si="493">IF(F484=0,"",L484+P484)</f>
        <v/>
      </c>
      <c r="R484" s="116"/>
    </row>
    <row r="485" spans="1:18" ht="15.6" x14ac:dyDescent="0.3">
      <c r="A485" s="83" t="str">
        <f>IF(TRIM(H485)&lt;&gt;"",COUNTA(H$9:$H485)&amp;"","")</f>
        <v/>
      </c>
      <c r="B485" s="84"/>
      <c r="C485" s="84"/>
      <c r="D485" s="85"/>
      <c r="E485" s="157" t="s">
        <v>669</v>
      </c>
      <c r="F485" s="87"/>
      <c r="H485" s="88"/>
      <c r="I485" s="89" t="str">
        <f t="shared" si="485"/>
        <v/>
      </c>
      <c r="J485" s="90" t="str">
        <f t="shared" si="486"/>
        <v/>
      </c>
      <c r="K485" s="91" t="str">
        <f t="shared" si="487"/>
        <v/>
      </c>
      <c r="L485" s="92" t="str">
        <f t="shared" si="488"/>
        <v/>
      </c>
      <c r="M485" s="93" t="str">
        <f t="shared" si="489"/>
        <v/>
      </c>
      <c r="N485" s="94" t="str">
        <f t="shared" si="490"/>
        <v/>
      </c>
      <c r="O485" s="94" t="str">
        <f t="shared" si="491"/>
        <v/>
      </c>
      <c r="P485" s="92" t="str">
        <f t="shared" si="492"/>
        <v/>
      </c>
      <c r="Q485" s="95" t="str">
        <f t="shared" si="493"/>
        <v/>
      </c>
      <c r="R485" s="116"/>
    </row>
    <row r="486" spans="1:18" x14ac:dyDescent="0.3">
      <c r="A486" s="83" t="str">
        <f>IF(TRIM(H486)&lt;&gt;"",COUNTA(H$9:$H486)&amp;"","")</f>
        <v/>
      </c>
      <c r="B486" s="84"/>
      <c r="C486" s="84"/>
      <c r="D486" s="85"/>
      <c r="E486" s="121" t="s">
        <v>670</v>
      </c>
      <c r="F486" s="87"/>
      <c r="H486" s="88"/>
      <c r="I486" s="89" t="str">
        <f t="shared" si="485"/>
        <v/>
      </c>
      <c r="J486" s="90" t="str">
        <f t="shared" si="486"/>
        <v/>
      </c>
      <c r="K486" s="91" t="str">
        <f t="shared" si="487"/>
        <v/>
      </c>
      <c r="L486" s="92" t="str">
        <f t="shared" si="488"/>
        <v/>
      </c>
      <c r="M486" s="93" t="str">
        <f t="shared" si="489"/>
        <v/>
      </c>
      <c r="N486" s="94" t="str">
        <f t="shared" si="490"/>
        <v/>
      </c>
      <c r="O486" s="94" t="str">
        <f t="shared" si="491"/>
        <v/>
      </c>
      <c r="P486" s="92" t="str">
        <f t="shared" si="492"/>
        <v/>
      </c>
      <c r="Q486" s="95" t="str">
        <f t="shared" si="493"/>
        <v/>
      </c>
      <c r="R486" s="116"/>
    </row>
    <row r="487" spans="1:18" x14ac:dyDescent="0.3">
      <c r="A487" s="83" t="str">
        <f>IF(TRIM(H487)&lt;&gt;"",COUNTA(H$9:$H487)&amp;"","")</f>
        <v>329</v>
      </c>
      <c r="B487" s="84"/>
      <c r="C487" s="84"/>
      <c r="D487" s="85"/>
      <c r="E487" s="86" t="s">
        <v>671</v>
      </c>
      <c r="F487" s="87">
        <v>2</v>
      </c>
      <c r="H487" s="88" t="s">
        <v>232</v>
      </c>
      <c r="I487" s="89">
        <v>0</v>
      </c>
      <c r="J487" s="90">
        <f t="shared" si="486"/>
        <v>2</v>
      </c>
      <c r="K487" s="91">
        <f t="shared" si="487"/>
        <v>0</v>
      </c>
      <c r="L487" s="92">
        <f t="shared" si="488"/>
        <v>0</v>
      </c>
      <c r="M487" s="93">
        <f t="shared" si="489"/>
        <v>0</v>
      </c>
      <c r="N487" s="94">
        <f t="shared" si="490"/>
        <v>0</v>
      </c>
      <c r="O487" s="94">
        <f t="shared" si="491"/>
        <v>0</v>
      </c>
      <c r="P487" s="92">
        <f t="shared" si="492"/>
        <v>0</v>
      </c>
      <c r="Q487" s="95">
        <f t="shared" si="493"/>
        <v>0</v>
      </c>
      <c r="R487" s="116"/>
    </row>
    <row r="488" spans="1:18" x14ac:dyDescent="0.3">
      <c r="A488" s="83" t="str">
        <f>IF(TRIM(H488)&lt;&gt;"",COUNTA(H$9:$H488)&amp;"","")</f>
        <v>330</v>
      </c>
      <c r="B488" s="84"/>
      <c r="C488" s="84"/>
      <c r="D488" s="85"/>
      <c r="E488" s="86" t="s">
        <v>672</v>
      </c>
      <c r="F488" s="87">
        <v>2</v>
      </c>
      <c r="H488" s="88" t="s">
        <v>232</v>
      </c>
      <c r="I488" s="89">
        <v>0</v>
      </c>
      <c r="J488" s="90">
        <f t="shared" si="486"/>
        <v>2</v>
      </c>
      <c r="K488" s="91">
        <f t="shared" si="487"/>
        <v>0</v>
      </c>
      <c r="L488" s="92">
        <f t="shared" si="488"/>
        <v>0</v>
      </c>
      <c r="M488" s="93">
        <f t="shared" si="489"/>
        <v>0</v>
      </c>
      <c r="N488" s="94">
        <f t="shared" si="490"/>
        <v>0</v>
      </c>
      <c r="O488" s="94">
        <f t="shared" si="491"/>
        <v>0</v>
      </c>
      <c r="P488" s="92">
        <f t="shared" si="492"/>
        <v>0</v>
      </c>
      <c r="Q488" s="95">
        <f t="shared" si="493"/>
        <v>0</v>
      </c>
      <c r="R488" s="116"/>
    </row>
    <row r="489" spans="1:18" x14ac:dyDescent="0.3">
      <c r="A489" s="83" t="str">
        <f>IF(TRIM(H489)&lt;&gt;"",COUNTA(H$9:$H489)&amp;"","")</f>
        <v>331</v>
      </c>
      <c r="B489" s="84"/>
      <c r="C489" s="84"/>
      <c r="D489" s="85"/>
      <c r="E489" s="86" t="s">
        <v>673</v>
      </c>
      <c r="F489" s="87">
        <v>1</v>
      </c>
      <c r="H489" s="88" t="s">
        <v>232</v>
      </c>
      <c r="I489" s="89">
        <v>0</v>
      </c>
      <c r="J489" s="90">
        <f t="shared" si="486"/>
        <v>1</v>
      </c>
      <c r="K489" s="91">
        <f t="shared" si="487"/>
        <v>0</v>
      </c>
      <c r="L489" s="92">
        <f t="shared" si="488"/>
        <v>0</v>
      </c>
      <c r="M489" s="93">
        <f t="shared" si="489"/>
        <v>0</v>
      </c>
      <c r="N489" s="94">
        <f t="shared" si="490"/>
        <v>0</v>
      </c>
      <c r="O489" s="94">
        <f t="shared" si="491"/>
        <v>0</v>
      </c>
      <c r="P489" s="92">
        <f t="shared" si="492"/>
        <v>0</v>
      </c>
      <c r="Q489" s="95">
        <f t="shared" si="493"/>
        <v>0</v>
      </c>
      <c r="R489" s="116"/>
    </row>
    <row r="490" spans="1:18" x14ac:dyDescent="0.3">
      <c r="A490" s="83"/>
      <c r="B490" s="84"/>
      <c r="C490" s="84"/>
      <c r="D490" s="85"/>
      <c r="F490" s="87"/>
      <c r="H490" s="88"/>
      <c r="I490" s="89"/>
      <c r="J490" s="90"/>
      <c r="K490" s="91"/>
      <c r="L490" s="92"/>
      <c r="M490" s="93"/>
      <c r="N490" s="94"/>
      <c r="O490" s="94"/>
      <c r="P490" s="92"/>
      <c r="Q490" s="95"/>
      <c r="R490" s="116"/>
    </row>
    <row r="491" spans="1:18" ht="15.6" x14ac:dyDescent="0.3">
      <c r="A491" s="83" t="str">
        <f>IF(TRIM(H491)&lt;&gt;"",COUNTA(H$9:$H491)&amp;"","")</f>
        <v/>
      </c>
      <c r="B491" s="84"/>
      <c r="C491" s="84"/>
      <c r="D491" s="85"/>
      <c r="E491" s="157" t="s">
        <v>151</v>
      </c>
      <c r="F491" s="87"/>
      <c r="H491" s="88"/>
      <c r="I491" s="89" t="str">
        <f t="shared" ref="I491:I516" si="494">IF(F491=0,"",0)</f>
        <v/>
      </c>
      <c r="J491" s="90" t="str">
        <f t="shared" ref="J491:J516" si="495">IF(F491=0,"",F491+(F491*I491))</f>
        <v/>
      </c>
      <c r="K491" s="91" t="str">
        <f t="shared" ref="K491:K516" si="496">IF(F491=0,"",0)</f>
        <v/>
      </c>
      <c r="L491" s="92" t="str">
        <f t="shared" ref="L491:L516" si="497">IF(F491=0,"",K491*J491)</f>
        <v/>
      </c>
      <c r="M491" s="93" t="str">
        <f t="shared" ref="M491:M516" si="498">IF(F491=0,"",M$7)</f>
        <v/>
      </c>
      <c r="N491" s="94" t="str">
        <f t="shared" ref="N491:N516" si="499">IF(F491=0,"",0)</f>
        <v/>
      </c>
      <c r="O491" s="94" t="str">
        <f t="shared" ref="O491:O516" si="500">IF(F491=0,"",N491*J491)</f>
        <v/>
      </c>
      <c r="P491" s="92" t="str">
        <f t="shared" ref="P491:P516" si="501">IF(F491=0,"",O491*M491)</f>
        <v/>
      </c>
      <c r="Q491" s="95" t="str">
        <f t="shared" ref="Q491:Q516" si="502">IF(F491=0,"",L491+P491)</f>
        <v/>
      </c>
      <c r="R491" s="116"/>
    </row>
    <row r="492" spans="1:18" x14ac:dyDescent="0.3">
      <c r="A492" s="83" t="str">
        <f>IF(TRIM(H492)&lt;&gt;"",COUNTA(H$9:$H492)&amp;"","")</f>
        <v/>
      </c>
      <c r="B492" s="84"/>
      <c r="C492" s="84"/>
      <c r="D492" s="85"/>
      <c r="E492" s="121" t="s">
        <v>152</v>
      </c>
      <c r="F492" s="87"/>
      <c r="H492" s="88"/>
      <c r="I492" s="89" t="str">
        <f t="shared" si="494"/>
        <v/>
      </c>
      <c r="J492" s="90" t="str">
        <f t="shared" si="495"/>
        <v/>
      </c>
      <c r="K492" s="91" t="str">
        <f t="shared" si="496"/>
        <v/>
      </c>
      <c r="L492" s="92" t="str">
        <f t="shared" si="497"/>
        <v/>
      </c>
      <c r="M492" s="93" t="str">
        <f t="shared" si="498"/>
        <v/>
      </c>
      <c r="N492" s="94" t="str">
        <f t="shared" si="499"/>
        <v/>
      </c>
      <c r="O492" s="94" t="str">
        <f t="shared" si="500"/>
        <v/>
      </c>
      <c r="P492" s="92" t="str">
        <f t="shared" si="501"/>
        <v/>
      </c>
      <c r="Q492" s="95" t="str">
        <f t="shared" si="502"/>
        <v/>
      </c>
      <c r="R492" s="116"/>
    </row>
    <row r="493" spans="1:18" x14ac:dyDescent="0.3">
      <c r="A493" s="83" t="str">
        <f>IF(TRIM(H493)&lt;&gt;"",COUNTA(H$9:$H493)&amp;"","")</f>
        <v>332</v>
      </c>
      <c r="B493" s="84"/>
      <c r="C493" s="84"/>
      <c r="D493" s="85"/>
      <c r="E493" s="86" t="s">
        <v>674</v>
      </c>
      <c r="F493" s="87">
        <v>1787.0900000000001</v>
      </c>
      <c r="H493" s="88" t="s">
        <v>175</v>
      </c>
      <c r="I493" s="89">
        <v>0.05</v>
      </c>
      <c r="J493" s="90">
        <f t="shared" si="495"/>
        <v>1876.4445000000001</v>
      </c>
      <c r="K493" s="91">
        <f t="shared" si="496"/>
        <v>0</v>
      </c>
      <c r="L493" s="92">
        <f t="shared" si="497"/>
        <v>0</v>
      </c>
      <c r="M493" s="93">
        <f t="shared" si="498"/>
        <v>0</v>
      </c>
      <c r="N493" s="94">
        <f t="shared" si="499"/>
        <v>0</v>
      </c>
      <c r="O493" s="94">
        <f t="shared" si="500"/>
        <v>0</v>
      </c>
      <c r="P493" s="92">
        <f t="shared" si="501"/>
        <v>0</v>
      </c>
      <c r="Q493" s="95">
        <f t="shared" si="502"/>
        <v>0</v>
      </c>
      <c r="R493" s="116"/>
    </row>
    <row r="494" spans="1:18" x14ac:dyDescent="0.3">
      <c r="A494" s="83" t="str">
        <f>IF(TRIM(H494)&lt;&gt;"",COUNTA(H$9:$H494)&amp;"","")</f>
        <v>333</v>
      </c>
      <c r="B494" s="84"/>
      <c r="C494" s="84"/>
      <c r="D494" s="85"/>
      <c r="E494" s="86" t="s">
        <v>675</v>
      </c>
      <c r="F494" s="87">
        <v>352</v>
      </c>
      <c r="H494" s="88" t="s">
        <v>175</v>
      </c>
      <c r="I494" s="89">
        <v>0.05</v>
      </c>
      <c r="J494" s="90">
        <f t="shared" si="495"/>
        <v>369.6</v>
      </c>
      <c r="K494" s="91">
        <f t="shared" si="496"/>
        <v>0</v>
      </c>
      <c r="L494" s="92">
        <f t="shared" si="497"/>
        <v>0</v>
      </c>
      <c r="M494" s="93">
        <f t="shared" si="498"/>
        <v>0</v>
      </c>
      <c r="N494" s="94">
        <f t="shared" si="499"/>
        <v>0</v>
      </c>
      <c r="O494" s="94">
        <f t="shared" si="500"/>
        <v>0</v>
      </c>
      <c r="P494" s="92">
        <f t="shared" si="501"/>
        <v>0</v>
      </c>
      <c r="Q494" s="95">
        <f t="shared" si="502"/>
        <v>0</v>
      </c>
      <c r="R494" s="116"/>
    </row>
    <row r="495" spans="1:18" x14ac:dyDescent="0.3">
      <c r="A495" s="83" t="str">
        <f>IF(TRIM(H495)&lt;&gt;"",COUNTA(H$9:$H495)&amp;"","")</f>
        <v/>
      </c>
      <c r="B495" s="84"/>
      <c r="C495" s="84"/>
      <c r="D495" s="85"/>
      <c r="E495" s="97"/>
      <c r="F495" s="87"/>
      <c r="H495" s="88"/>
      <c r="I495" s="89" t="str">
        <f t="shared" si="494"/>
        <v/>
      </c>
      <c r="J495" s="90" t="str">
        <f t="shared" si="495"/>
        <v/>
      </c>
      <c r="K495" s="91" t="str">
        <f t="shared" si="496"/>
        <v/>
      </c>
      <c r="L495" s="92" t="str">
        <f t="shared" si="497"/>
        <v/>
      </c>
      <c r="M495" s="93" t="str">
        <f t="shared" si="498"/>
        <v/>
      </c>
      <c r="N495" s="94" t="str">
        <f t="shared" si="499"/>
        <v/>
      </c>
      <c r="O495" s="94" t="str">
        <f t="shared" si="500"/>
        <v/>
      </c>
      <c r="P495" s="92" t="str">
        <f t="shared" si="501"/>
        <v/>
      </c>
      <c r="Q495" s="95" t="str">
        <f t="shared" si="502"/>
        <v/>
      </c>
      <c r="R495" s="116"/>
    </row>
    <row r="496" spans="1:18" x14ac:dyDescent="0.3">
      <c r="A496" s="83" t="str">
        <f>IF(TRIM(H496)&lt;&gt;"",COUNTA(H$9:$H496)&amp;"","")</f>
        <v/>
      </c>
      <c r="B496" s="84"/>
      <c r="C496" s="84"/>
      <c r="D496" s="85"/>
      <c r="E496" s="121" t="s">
        <v>153</v>
      </c>
      <c r="F496" s="87"/>
      <c r="H496" s="88"/>
      <c r="I496" s="89" t="str">
        <f t="shared" si="494"/>
        <v/>
      </c>
      <c r="J496" s="90" t="str">
        <f t="shared" si="495"/>
        <v/>
      </c>
      <c r="K496" s="91" t="str">
        <f t="shared" si="496"/>
        <v/>
      </c>
      <c r="L496" s="92" t="str">
        <f t="shared" si="497"/>
        <v/>
      </c>
      <c r="M496" s="93" t="str">
        <f t="shared" si="498"/>
        <v/>
      </c>
      <c r="N496" s="94" t="str">
        <f t="shared" si="499"/>
        <v/>
      </c>
      <c r="O496" s="94" t="str">
        <f t="shared" si="500"/>
        <v/>
      </c>
      <c r="P496" s="92" t="str">
        <f t="shared" si="501"/>
        <v/>
      </c>
      <c r="Q496" s="95" t="str">
        <f t="shared" si="502"/>
        <v/>
      </c>
      <c r="R496" s="116"/>
    </row>
    <row r="497" spans="1:18" x14ac:dyDescent="0.3">
      <c r="A497" s="83" t="str">
        <f>IF(TRIM(H497)&lt;&gt;"",COUNTA(H$9:$H497)&amp;"","")</f>
        <v>334</v>
      </c>
      <c r="B497" s="84"/>
      <c r="C497" s="84"/>
      <c r="D497" s="85"/>
      <c r="E497" s="97" t="s">
        <v>676</v>
      </c>
      <c r="F497" s="87">
        <v>5361.27</v>
      </c>
      <c r="H497" s="88" t="s">
        <v>175</v>
      </c>
      <c r="I497" s="89">
        <v>0.05</v>
      </c>
      <c r="J497" s="90">
        <f t="shared" si="495"/>
        <v>5629.3335000000006</v>
      </c>
      <c r="K497" s="91">
        <f t="shared" si="496"/>
        <v>0</v>
      </c>
      <c r="L497" s="92">
        <f t="shared" si="497"/>
        <v>0</v>
      </c>
      <c r="M497" s="93">
        <f t="shared" si="498"/>
        <v>0</v>
      </c>
      <c r="N497" s="94">
        <f t="shared" si="499"/>
        <v>0</v>
      </c>
      <c r="O497" s="94">
        <f t="shared" si="500"/>
        <v>0</v>
      </c>
      <c r="P497" s="92">
        <f t="shared" si="501"/>
        <v>0</v>
      </c>
      <c r="Q497" s="95">
        <f t="shared" si="502"/>
        <v>0</v>
      </c>
      <c r="R497" s="116"/>
    </row>
    <row r="498" spans="1:18" x14ac:dyDescent="0.3">
      <c r="A498" s="83" t="str">
        <f>IF(TRIM(H498)&lt;&gt;"",COUNTA(H$9:$H498)&amp;"","")</f>
        <v>335</v>
      </c>
      <c r="B498" s="84"/>
      <c r="C498" s="84"/>
      <c r="D498" s="85"/>
      <c r="E498" s="97" t="s">
        <v>677</v>
      </c>
      <c r="F498" s="87">
        <v>210.91</v>
      </c>
      <c r="H498" s="88" t="s">
        <v>175</v>
      </c>
      <c r="I498" s="89">
        <v>0.05</v>
      </c>
      <c r="J498" s="90">
        <f t="shared" si="495"/>
        <v>221.4555</v>
      </c>
      <c r="K498" s="91">
        <f t="shared" si="496"/>
        <v>0</v>
      </c>
      <c r="L498" s="92">
        <f t="shared" si="497"/>
        <v>0</v>
      </c>
      <c r="M498" s="93">
        <f t="shared" si="498"/>
        <v>0</v>
      </c>
      <c r="N498" s="94">
        <f t="shared" si="499"/>
        <v>0</v>
      </c>
      <c r="O498" s="94">
        <f t="shared" si="500"/>
        <v>0</v>
      </c>
      <c r="P498" s="92">
        <f t="shared" si="501"/>
        <v>0</v>
      </c>
      <c r="Q498" s="95">
        <f t="shared" si="502"/>
        <v>0</v>
      </c>
      <c r="R498" s="116"/>
    </row>
    <row r="499" spans="1:18" x14ac:dyDescent="0.3">
      <c r="A499" s="83" t="str">
        <f>IF(TRIM(H499)&lt;&gt;"",COUNTA(H$9:$H499)&amp;"","")</f>
        <v>336</v>
      </c>
      <c r="B499" s="84"/>
      <c r="C499" s="84"/>
      <c r="D499" s="85"/>
      <c r="E499" s="97" t="s">
        <v>678</v>
      </c>
      <c r="F499" s="87">
        <v>345.26</v>
      </c>
      <c r="H499" s="88" t="s">
        <v>175</v>
      </c>
      <c r="I499" s="89">
        <v>0.05</v>
      </c>
      <c r="J499" s="90">
        <f t="shared" si="495"/>
        <v>362.52299999999997</v>
      </c>
      <c r="K499" s="91">
        <f t="shared" si="496"/>
        <v>0</v>
      </c>
      <c r="L499" s="92">
        <f t="shared" si="497"/>
        <v>0</v>
      </c>
      <c r="M499" s="93">
        <f t="shared" si="498"/>
        <v>0</v>
      </c>
      <c r="N499" s="94">
        <f t="shared" si="499"/>
        <v>0</v>
      </c>
      <c r="O499" s="94">
        <f t="shared" si="500"/>
        <v>0</v>
      </c>
      <c r="P499" s="92">
        <f t="shared" si="501"/>
        <v>0</v>
      </c>
      <c r="Q499" s="95">
        <f t="shared" si="502"/>
        <v>0</v>
      </c>
      <c r="R499" s="116"/>
    </row>
    <row r="500" spans="1:18" x14ac:dyDescent="0.3">
      <c r="A500" s="83" t="str">
        <f>IF(TRIM(H500)&lt;&gt;"",COUNTA(H$9:$H500)&amp;"","")</f>
        <v/>
      </c>
      <c r="B500" s="84"/>
      <c r="C500" s="84"/>
      <c r="D500" s="85"/>
      <c r="E500" s="97"/>
      <c r="F500" s="87"/>
      <c r="H500" s="88"/>
      <c r="I500" s="89" t="str">
        <f t="shared" si="494"/>
        <v/>
      </c>
      <c r="J500" s="90" t="str">
        <f t="shared" si="495"/>
        <v/>
      </c>
      <c r="K500" s="91" t="str">
        <f t="shared" si="496"/>
        <v/>
      </c>
      <c r="L500" s="92" t="str">
        <f t="shared" si="497"/>
        <v/>
      </c>
      <c r="M500" s="93" t="str">
        <f t="shared" si="498"/>
        <v/>
      </c>
      <c r="N500" s="94" t="str">
        <f t="shared" si="499"/>
        <v/>
      </c>
      <c r="O500" s="94" t="str">
        <f t="shared" si="500"/>
        <v/>
      </c>
      <c r="P500" s="92" t="str">
        <f t="shared" si="501"/>
        <v/>
      </c>
      <c r="Q500" s="95" t="str">
        <f t="shared" si="502"/>
        <v/>
      </c>
      <c r="R500" s="116"/>
    </row>
    <row r="501" spans="1:18" x14ac:dyDescent="0.3">
      <c r="A501" s="83" t="str">
        <f>IF(TRIM(H501)&lt;&gt;"",COUNTA(H$9:$H501)&amp;"","")</f>
        <v/>
      </c>
      <c r="B501" s="84"/>
      <c r="C501" s="84"/>
      <c r="D501" s="85"/>
      <c r="E501" s="121" t="s">
        <v>154</v>
      </c>
      <c r="F501" s="87"/>
      <c r="H501" s="88"/>
      <c r="I501" s="89" t="str">
        <f t="shared" si="494"/>
        <v/>
      </c>
      <c r="J501" s="90" t="str">
        <f t="shared" si="495"/>
        <v/>
      </c>
      <c r="K501" s="91" t="str">
        <f t="shared" si="496"/>
        <v/>
      </c>
      <c r="L501" s="92" t="str">
        <f t="shared" si="497"/>
        <v/>
      </c>
      <c r="M501" s="93" t="str">
        <f t="shared" si="498"/>
        <v/>
      </c>
      <c r="N501" s="94" t="str">
        <f t="shared" si="499"/>
        <v/>
      </c>
      <c r="O501" s="94" t="str">
        <f t="shared" si="500"/>
        <v/>
      </c>
      <c r="P501" s="92" t="str">
        <f t="shared" si="501"/>
        <v/>
      </c>
      <c r="Q501" s="95" t="str">
        <f t="shared" si="502"/>
        <v/>
      </c>
      <c r="R501" s="116"/>
    </row>
    <row r="502" spans="1:18" x14ac:dyDescent="0.3">
      <c r="A502" s="83" t="str">
        <f>IF(TRIM(H502)&lt;&gt;"",COUNTA(H$9:$H502)&amp;"","")</f>
        <v>337</v>
      </c>
      <c r="B502" s="84"/>
      <c r="C502" s="84"/>
      <c r="D502" s="85"/>
      <c r="E502" s="86" t="s">
        <v>679</v>
      </c>
      <c r="F502" s="87">
        <v>153.63999999999999</v>
      </c>
      <c r="H502" s="88" t="s">
        <v>175</v>
      </c>
      <c r="I502" s="89">
        <v>0.05</v>
      </c>
      <c r="J502" s="90">
        <f t="shared" si="495"/>
        <v>161.32199999999997</v>
      </c>
      <c r="K502" s="91">
        <f t="shared" si="496"/>
        <v>0</v>
      </c>
      <c r="L502" s="92">
        <f t="shared" si="497"/>
        <v>0</v>
      </c>
      <c r="M502" s="93">
        <f t="shared" si="498"/>
        <v>0</v>
      </c>
      <c r="N502" s="94">
        <f t="shared" si="499"/>
        <v>0</v>
      </c>
      <c r="O502" s="94">
        <f t="shared" si="500"/>
        <v>0</v>
      </c>
      <c r="P502" s="92">
        <f t="shared" si="501"/>
        <v>0</v>
      </c>
      <c r="Q502" s="95">
        <f t="shared" si="502"/>
        <v>0</v>
      </c>
      <c r="R502" s="116"/>
    </row>
    <row r="503" spans="1:18" x14ac:dyDescent="0.3">
      <c r="A503" s="83" t="str">
        <f>IF(TRIM(H503)&lt;&gt;"",COUNTA(H$9:$H503)&amp;"","")</f>
        <v>338</v>
      </c>
      <c r="B503" s="84"/>
      <c r="C503" s="84"/>
      <c r="D503" s="85"/>
      <c r="E503" s="86" t="s">
        <v>674</v>
      </c>
      <c r="F503" s="87">
        <v>5470.7999999999993</v>
      </c>
      <c r="H503" s="88" t="s">
        <v>175</v>
      </c>
      <c r="I503" s="89">
        <v>0.05</v>
      </c>
      <c r="J503" s="90">
        <f t="shared" si="495"/>
        <v>5744.3399999999992</v>
      </c>
      <c r="K503" s="91">
        <f t="shared" si="496"/>
        <v>0</v>
      </c>
      <c r="L503" s="92">
        <f t="shared" si="497"/>
        <v>0</v>
      </c>
      <c r="M503" s="93">
        <f t="shared" si="498"/>
        <v>0</v>
      </c>
      <c r="N503" s="94">
        <f t="shared" si="499"/>
        <v>0</v>
      </c>
      <c r="O503" s="94">
        <f t="shared" si="500"/>
        <v>0</v>
      </c>
      <c r="P503" s="92">
        <f t="shared" si="501"/>
        <v>0</v>
      </c>
      <c r="Q503" s="95">
        <f t="shared" si="502"/>
        <v>0</v>
      </c>
      <c r="R503" s="116"/>
    </row>
    <row r="504" spans="1:18" x14ac:dyDescent="0.3">
      <c r="A504" s="83" t="str">
        <f>IF(TRIM(H504)&lt;&gt;"",COUNTA(H$9:$H504)&amp;"","")</f>
        <v/>
      </c>
      <c r="B504" s="84"/>
      <c r="C504" s="84"/>
      <c r="D504" s="85"/>
      <c r="E504" s="97"/>
      <c r="F504" s="87"/>
      <c r="H504" s="88"/>
      <c r="I504" s="89" t="str">
        <f t="shared" si="494"/>
        <v/>
      </c>
      <c r="J504" s="90" t="str">
        <f t="shared" si="495"/>
        <v/>
      </c>
      <c r="K504" s="91" t="str">
        <f t="shared" si="496"/>
        <v/>
      </c>
      <c r="L504" s="92" t="str">
        <f t="shared" si="497"/>
        <v/>
      </c>
      <c r="M504" s="93" t="str">
        <f t="shared" si="498"/>
        <v/>
      </c>
      <c r="N504" s="94" t="str">
        <f t="shared" si="499"/>
        <v/>
      </c>
      <c r="O504" s="94" t="str">
        <f t="shared" si="500"/>
        <v/>
      </c>
      <c r="P504" s="92" t="str">
        <f t="shared" si="501"/>
        <v/>
      </c>
      <c r="Q504" s="95" t="str">
        <f t="shared" si="502"/>
        <v/>
      </c>
      <c r="R504" s="116"/>
    </row>
    <row r="505" spans="1:18" x14ac:dyDescent="0.3">
      <c r="A505" s="83" t="str">
        <f>IF(TRIM(H505)&lt;&gt;"",COUNTA(H$9:$H505)&amp;"","")</f>
        <v/>
      </c>
      <c r="B505" s="84"/>
      <c r="C505" s="84"/>
      <c r="D505" s="85"/>
      <c r="E505" s="121" t="s">
        <v>155</v>
      </c>
      <c r="F505" s="87"/>
      <c r="H505" s="88"/>
      <c r="I505" s="89" t="str">
        <f t="shared" si="494"/>
        <v/>
      </c>
      <c r="J505" s="90" t="str">
        <f t="shared" si="495"/>
        <v/>
      </c>
      <c r="K505" s="91" t="str">
        <f t="shared" si="496"/>
        <v/>
      </c>
      <c r="L505" s="92" t="str">
        <f t="shared" si="497"/>
        <v/>
      </c>
      <c r="M505" s="93" t="str">
        <f t="shared" si="498"/>
        <v/>
      </c>
      <c r="N505" s="94" t="str">
        <f t="shared" si="499"/>
        <v/>
      </c>
      <c r="O505" s="94" t="str">
        <f t="shared" si="500"/>
        <v/>
      </c>
      <c r="P505" s="92" t="str">
        <f t="shared" si="501"/>
        <v/>
      </c>
      <c r="Q505" s="95" t="str">
        <f t="shared" si="502"/>
        <v/>
      </c>
      <c r="R505" s="116"/>
    </row>
    <row r="506" spans="1:18" x14ac:dyDescent="0.3">
      <c r="A506" s="83" t="str">
        <f>IF(TRIM(H506)&lt;&gt;"",COUNTA(H$9:$H506)&amp;"","")</f>
        <v>339</v>
      </c>
      <c r="B506" s="84"/>
      <c r="C506" s="84"/>
      <c r="D506" s="85"/>
      <c r="E506" s="97" t="s">
        <v>680</v>
      </c>
      <c r="F506" s="87">
        <v>6192.36</v>
      </c>
      <c r="H506" s="88" t="s">
        <v>175</v>
      </c>
      <c r="I506" s="89">
        <v>0.05</v>
      </c>
      <c r="J506" s="90">
        <f t="shared" si="495"/>
        <v>6501.9780000000001</v>
      </c>
      <c r="K506" s="91">
        <f t="shared" si="496"/>
        <v>0</v>
      </c>
      <c r="L506" s="92">
        <f t="shared" si="497"/>
        <v>0</v>
      </c>
      <c r="M506" s="93">
        <f t="shared" si="498"/>
        <v>0</v>
      </c>
      <c r="N506" s="94">
        <f t="shared" si="499"/>
        <v>0</v>
      </c>
      <c r="O506" s="94">
        <f t="shared" si="500"/>
        <v>0</v>
      </c>
      <c r="P506" s="92">
        <f t="shared" si="501"/>
        <v>0</v>
      </c>
      <c r="Q506" s="95">
        <f t="shared" si="502"/>
        <v>0</v>
      </c>
      <c r="R506" s="116"/>
    </row>
    <row r="507" spans="1:18" x14ac:dyDescent="0.3">
      <c r="A507" s="83" t="str">
        <f>IF(TRIM(H507)&lt;&gt;"",COUNTA(H$9:$H507)&amp;"","")</f>
        <v>340</v>
      </c>
      <c r="B507" s="84"/>
      <c r="C507" s="84"/>
      <c r="D507" s="85"/>
      <c r="E507" s="97" t="s">
        <v>681</v>
      </c>
      <c r="F507" s="87">
        <v>276.24</v>
      </c>
      <c r="H507" s="88" t="s">
        <v>175</v>
      </c>
      <c r="I507" s="89">
        <v>0.05</v>
      </c>
      <c r="J507" s="90">
        <f t="shared" si="495"/>
        <v>290.05200000000002</v>
      </c>
      <c r="K507" s="91">
        <f t="shared" si="496"/>
        <v>0</v>
      </c>
      <c r="L507" s="92">
        <f t="shared" si="497"/>
        <v>0</v>
      </c>
      <c r="M507" s="93">
        <f t="shared" si="498"/>
        <v>0</v>
      </c>
      <c r="N507" s="94">
        <f t="shared" si="499"/>
        <v>0</v>
      </c>
      <c r="O507" s="94">
        <f t="shared" si="500"/>
        <v>0</v>
      </c>
      <c r="P507" s="92">
        <f t="shared" si="501"/>
        <v>0</v>
      </c>
      <c r="Q507" s="95">
        <f t="shared" si="502"/>
        <v>0</v>
      </c>
      <c r="R507" s="116"/>
    </row>
    <row r="508" spans="1:18" x14ac:dyDescent="0.3">
      <c r="A508" s="83" t="str">
        <f>IF(TRIM(H508)&lt;&gt;"",COUNTA(H$9:$H508)&amp;"","")</f>
        <v>341</v>
      </c>
      <c r="B508" s="84"/>
      <c r="C508" s="84"/>
      <c r="D508" s="85"/>
      <c r="E508" s="97" t="s">
        <v>676</v>
      </c>
      <c r="F508" s="87">
        <v>10220.040000000001</v>
      </c>
      <c r="H508" s="88" t="s">
        <v>175</v>
      </c>
      <c r="I508" s="89">
        <v>0.05</v>
      </c>
      <c r="J508" s="90">
        <f t="shared" si="495"/>
        <v>10731.042000000001</v>
      </c>
      <c r="K508" s="91">
        <f t="shared" si="496"/>
        <v>0</v>
      </c>
      <c r="L508" s="92">
        <f t="shared" si="497"/>
        <v>0</v>
      </c>
      <c r="M508" s="93">
        <f t="shared" si="498"/>
        <v>0</v>
      </c>
      <c r="N508" s="94">
        <f t="shared" si="499"/>
        <v>0</v>
      </c>
      <c r="O508" s="94">
        <f t="shared" si="500"/>
        <v>0</v>
      </c>
      <c r="P508" s="92">
        <f t="shared" si="501"/>
        <v>0</v>
      </c>
      <c r="Q508" s="95">
        <f t="shared" si="502"/>
        <v>0</v>
      </c>
      <c r="R508" s="116"/>
    </row>
    <row r="509" spans="1:18" x14ac:dyDescent="0.3">
      <c r="A509" s="83" t="str">
        <f>IF(TRIM(H509)&lt;&gt;"",COUNTA(H$9:$H509)&amp;"","")</f>
        <v>342</v>
      </c>
      <c r="B509" s="84"/>
      <c r="C509" s="84"/>
      <c r="D509" s="85"/>
      <c r="E509" s="97" t="s">
        <v>682</v>
      </c>
      <c r="F509" s="87">
        <v>184.68</v>
      </c>
      <c r="H509" s="88" t="s">
        <v>175</v>
      </c>
      <c r="I509" s="89">
        <v>0.05</v>
      </c>
      <c r="J509" s="90">
        <f t="shared" si="495"/>
        <v>193.91400000000002</v>
      </c>
      <c r="K509" s="91">
        <f t="shared" si="496"/>
        <v>0</v>
      </c>
      <c r="L509" s="92">
        <f t="shared" si="497"/>
        <v>0</v>
      </c>
      <c r="M509" s="93">
        <f t="shared" si="498"/>
        <v>0</v>
      </c>
      <c r="N509" s="94">
        <f t="shared" si="499"/>
        <v>0</v>
      </c>
      <c r="O509" s="94">
        <f t="shared" si="500"/>
        <v>0</v>
      </c>
      <c r="P509" s="92">
        <f t="shared" si="501"/>
        <v>0</v>
      </c>
      <c r="Q509" s="95">
        <f t="shared" si="502"/>
        <v>0</v>
      </c>
      <c r="R509" s="116"/>
    </row>
    <row r="510" spans="1:18" x14ac:dyDescent="0.3">
      <c r="A510" s="83" t="str">
        <f>IF(TRIM(H510)&lt;&gt;"",COUNTA(H$9:$H510)&amp;"","")</f>
        <v/>
      </c>
      <c r="B510" s="84"/>
      <c r="C510" s="84"/>
      <c r="D510" s="85"/>
      <c r="E510" s="97"/>
      <c r="F510" s="87"/>
      <c r="H510" s="88"/>
      <c r="I510" s="89" t="str">
        <f t="shared" ref="I510" si="503">IF(F510=0,"",0)</f>
        <v/>
      </c>
      <c r="J510" s="90" t="str">
        <f t="shared" si="495"/>
        <v/>
      </c>
      <c r="K510" s="91" t="str">
        <f t="shared" si="496"/>
        <v/>
      </c>
      <c r="L510" s="92" t="str">
        <f t="shared" si="497"/>
        <v/>
      </c>
      <c r="M510" s="93" t="str">
        <f t="shared" si="498"/>
        <v/>
      </c>
      <c r="N510" s="94" t="str">
        <f t="shared" si="499"/>
        <v/>
      </c>
      <c r="O510" s="94" t="str">
        <f t="shared" si="500"/>
        <v/>
      </c>
      <c r="P510" s="92" t="str">
        <f t="shared" si="501"/>
        <v/>
      </c>
      <c r="Q510" s="95" t="str">
        <f t="shared" si="502"/>
        <v/>
      </c>
      <c r="R510" s="116"/>
    </row>
    <row r="511" spans="1:18" ht="15.6" x14ac:dyDescent="0.3">
      <c r="A511" s="83" t="str">
        <f>IF(TRIM(H511)&lt;&gt;"",COUNTA(H$9:$H511)&amp;"","")</f>
        <v/>
      </c>
      <c r="B511" s="84"/>
      <c r="C511" s="84"/>
      <c r="D511" s="85"/>
      <c r="E511" s="157" t="s">
        <v>156</v>
      </c>
      <c r="F511" s="87"/>
      <c r="H511" s="88"/>
      <c r="I511" s="89" t="str">
        <f t="shared" si="494"/>
        <v/>
      </c>
      <c r="J511" s="90" t="str">
        <f t="shared" si="495"/>
        <v/>
      </c>
      <c r="K511" s="91" t="str">
        <f t="shared" si="496"/>
        <v/>
      </c>
      <c r="L511" s="92" t="str">
        <f t="shared" si="497"/>
        <v/>
      </c>
      <c r="M511" s="93" t="str">
        <f t="shared" si="498"/>
        <v/>
      </c>
      <c r="N511" s="94" t="str">
        <f t="shared" si="499"/>
        <v/>
      </c>
      <c r="O511" s="94" t="str">
        <f t="shared" si="500"/>
        <v/>
      </c>
      <c r="P511" s="92" t="str">
        <f t="shared" si="501"/>
        <v/>
      </c>
      <c r="Q511" s="95" t="str">
        <f t="shared" si="502"/>
        <v/>
      </c>
      <c r="R511" s="116"/>
    </row>
    <row r="512" spans="1:18" x14ac:dyDescent="0.3">
      <c r="A512" s="83" t="str">
        <f>IF(TRIM(H512)&lt;&gt;"",COUNTA(H$9:$H512)&amp;"","")</f>
        <v/>
      </c>
      <c r="B512" s="84"/>
      <c r="C512" s="84"/>
      <c r="D512" s="85"/>
      <c r="E512" s="121" t="s">
        <v>157</v>
      </c>
      <c r="F512" s="87"/>
      <c r="H512" s="88"/>
      <c r="I512" s="89" t="str">
        <f t="shared" si="494"/>
        <v/>
      </c>
      <c r="J512" s="90" t="str">
        <f t="shared" si="495"/>
        <v/>
      </c>
      <c r="K512" s="91" t="str">
        <f t="shared" si="496"/>
        <v/>
      </c>
      <c r="L512" s="92" t="str">
        <f t="shared" si="497"/>
        <v/>
      </c>
      <c r="M512" s="93" t="str">
        <f t="shared" si="498"/>
        <v/>
      </c>
      <c r="N512" s="94" t="str">
        <f t="shared" si="499"/>
        <v/>
      </c>
      <c r="O512" s="94" t="str">
        <f t="shared" si="500"/>
        <v/>
      </c>
      <c r="P512" s="92" t="str">
        <f t="shared" si="501"/>
        <v/>
      </c>
      <c r="Q512" s="95" t="str">
        <f t="shared" si="502"/>
        <v/>
      </c>
      <c r="R512" s="116"/>
    </row>
    <row r="513" spans="1:18" x14ac:dyDescent="0.3">
      <c r="A513" s="83" t="str">
        <f>IF(TRIM(H513)&lt;&gt;"",COUNTA(H$9:$H513)&amp;"","")</f>
        <v>343</v>
      </c>
      <c r="B513" s="84"/>
      <c r="C513" s="84"/>
      <c r="D513" s="85"/>
      <c r="E513" s="86" t="s">
        <v>683</v>
      </c>
      <c r="F513" s="87">
        <v>27</v>
      </c>
      <c r="H513" s="88" t="s">
        <v>232</v>
      </c>
      <c r="I513" s="89">
        <f t="shared" si="494"/>
        <v>0</v>
      </c>
      <c r="J513" s="90">
        <f t="shared" si="495"/>
        <v>27</v>
      </c>
      <c r="K513" s="91">
        <f t="shared" si="496"/>
        <v>0</v>
      </c>
      <c r="L513" s="92">
        <f t="shared" si="497"/>
        <v>0</v>
      </c>
      <c r="M513" s="93">
        <f t="shared" si="498"/>
        <v>0</v>
      </c>
      <c r="N513" s="94">
        <f t="shared" si="499"/>
        <v>0</v>
      </c>
      <c r="O513" s="94">
        <f t="shared" si="500"/>
        <v>0</v>
      </c>
      <c r="P513" s="92">
        <f t="shared" si="501"/>
        <v>0</v>
      </c>
      <c r="Q513" s="95">
        <f t="shared" si="502"/>
        <v>0</v>
      </c>
      <c r="R513" s="116"/>
    </row>
    <row r="514" spans="1:18" x14ac:dyDescent="0.3">
      <c r="A514" s="83" t="str">
        <f>IF(TRIM(H514)&lt;&gt;"",COUNTA(H$9:$H514)&amp;"","")</f>
        <v>344</v>
      </c>
      <c r="B514" s="84"/>
      <c r="C514" s="84"/>
      <c r="D514" s="85"/>
      <c r="E514" s="86" t="s">
        <v>684</v>
      </c>
      <c r="F514" s="87">
        <v>12</v>
      </c>
      <c r="H514" s="88" t="s">
        <v>232</v>
      </c>
      <c r="I514" s="89">
        <f t="shared" si="494"/>
        <v>0</v>
      </c>
      <c r="J514" s="90">
        <f t="shared" si="495"/>
        <v>12</v>
      </c>
      <c r="K514" s="91">
        <f t="shared" si="496"/>
        <v>0</v>
      </c>
      <c r="L514" s="92">
        <f t="shared" si="497"/>
        <v>0</v>
      </c>
      <c r="M514" s="93">
        <f t="shared" si="498"/>
        <v>0</v>
      </c>
      <c r="N514" s="94">
        <f t="shared" si="499"/>
        <v>0</v>
      </c>
      <c r="O514" s="94">
        <f t="shared" si="500"/>
        <v>0</v>
      </c>
      <c r="P514" s="92">
        <f t="shared" si="501"/>
        <v>0</v>
      </c>
      <c r="Q514" s="95">
        <f t="shared" si="502"/>
        <v>0</v>
      </c>
      <c r="R514" s="116"/>
    </row>
    <row r="515" spans="1:18" x14ac:dyDescent="0.3">
      <c r="A515" s="83" t="str">
        <f>IF(TRIM(H515)&lt;&gt;"",COUNTA(H$9:$H515)&amp;"","")</f>
        <v>345</v>
      </c>
      <c r="B515" s="84"/>
      <c r="C515" s="84"/>
      <c r="D515" s="85"/>
      <c r="E515" s="97" t="s">
        <v>685</v>
      </c>
      <c r="F515" s="87">
        <v>23</v>
      </c>
      <c r="H515" s="88" t="s">
        <v>232</v>
      </c>
      <c r="I515" s="89">
        <f t="shared" si="494"/>
        <v>0</v>
      </c>
      <c r="J515" s="90">
        <f t="shared" si="495"/>
        <v>23</v>
      </c>
      <c r="K515" s="91">
        <f t="shared" si="496"/>
        <v>0</v>
      </c>
      <c r="L515" s="92">
        <f t="shared" si="497"/>
        <v>0</v>
      </c>
      <c r="M515" s="93">
        <f t="shared" si="498"/>
        <v>0</v>
      </c>
      <c r="N515" s="94">
        <f t="shared" si="499"/>
        <v>0</v>
      </c>
      <c r="O515" s="94">
        <f t="shared" si="500"/>
        <v>0</v>
      </c>
      <c r="P515" s="92">
        <f t="shared" si="501"/>
        <v>0</v>
      </c>
      <c r="Q515" s="95">
        <f t="shared" si="502"/>
        <v>0</v>
      </c>
      <c r="R515" s="116"/>
    </row>
    <row r="516" spans="1:18" x14ac:dyDescent="0.3">
      <c r="A516" s="83" t="str">
        <f>IF(TRIM(H516)&lt;&gt;"",COUNTA(H$9:$H516)&amp;"","")</f>
        <v>346</v>
      </c>
      <c r="B516" s="84"/>
      <c r="C516" s="84"/>
      <c r="D516" s="85"/>
      <c r="E516" s="97" t="s">
        <v>686</v>
      </c>
      <c r="F516" s="87">
        <v>2</v>
      </c>
      <c r="H516" s="88" t="s">
        <v>232</v>
      </c>
      <c r="I516" s="89">
        <f t="shared" si="494"/>
        <v>0</v>
      </c>
      <c r="J516" s="90">
        <f t="shared" si="495"/>
        <v>2</v>
      </c>
      <c r="K516" s="91">
        <f t="shared" si="496"/>
        <v>0</v>
      </c>
      <c r="L516" s="92">
        <f t="shared" si="497"/>
        <v>0</v>
      </c>
      <c r="M516" s="93">
        <f t="shared" si="498"/>
        <v>0</v>
      </c>
      <c r="N516" s="94">
        <f t="shared" si="499"/>
        <v>0</v>
      </c>
      <c r="O516" s="94">
        <f t="shared" si="500"/>
        <v>0</v>
      </c>
      <c r="P516" s="92">
        <f t="shared" si="501"/>
        <v>0</v>
      </c>
      <c r="Q516" s="95">
        <f t="shared" si="502"/>
        <v>0</v>
      </c>
      <c r="R516" s="116"/>
    </row>
    <row r="517" spans="1:18" x14ac:dyDescent="0.3">
      <c r="A517" s="83"/>
      <c r="B517" s="84"/>
      <c r="C517" s="84"/>
      <c r="D517" s="85"/>
      <c r="E517" s="151"/>
      <c r="F517" s="87"/>
      <c r="H517" s="88"/>
      <c r="I517" s="89"/>
      <c r="J517" s="90"/>
      <c r="K517" s="91"/>
      <c r="L517" s="92"/>
      <c r="M517" s="93"/>
      <c r="N517" s="94"/>
      <c r="O517" s="94"/>
      <c r="P517" s="92"/>
      <c r="Q517" s="95"/>
      <c r="R517" s="116"/>
    </row>
    <row r="518" spans="1:18" ht="15.6" x14ac:dyDescent="0.3">
      <c r="A518" s="83" t="str">
        <f>IF(TRIM(H518)&lt;&gt;"",COUNTA(H$9:$H518)&amp;"","")</f>
        <v/>
      </c>
      <c r="B518" s="84"/>
      <c r="C518" s="84"/>
      <c r="D518" s="85"/>
      <c r="E518" s="157" t="s">
        <v>687</v>
      </c>
      <c r="F518" s="87"/>
      <c r="H518" s="88"/>
      <c r="I518" s="89" t="str">
        <f t="shared" ref="I518:I534" si="504">IF(F518=0,"",0)</f>
        <v/>
      </c>
      <c r="J518" s="90" t="str">
        <f t="shared" ref="J518:J534" si="505">IF(F518=0,"",F518+(F518*I518))</f>
        <v/>
      </c>
      <c r="K518" s="91" t="str">
        <f t="shared" ref="K518:K534" si="506">IF(F518=0,"",0)</f>
        <v/>
      </c>
      <c r="L518" s="92" t="str">
        <f t="shared" ref="L518:L534" si="507">IF(F518=0,"",K518*J518)</f>
        <v/>
      </c>
      <c r="M518" s="93" t="str">
        <f t="shared" ref="M518:M534" si="508">IF(F518=0,"",M$7)</f>
        <v/>
      </c>
      <c r="N518" s="94" t="str">
        <f t="shared" ref="N518:N534" si="509">IF(F518=0,"",0)</f>
        <v/>
      </c>
      <c r="O518" s="94" t="str">
        <f t="shared" ref="O518:O534" si="510">IF(F518=0,"",N518*J518)</f>
        <v/>
      </c>
      <c r="P518" s="92" t="str">
        <f t="shared" ref="P518:P534" si="511">IF(F518=0,"",O518*M518)</f>
        <v/>
      </c>
      <c r="Q518" s="95" t="str">
        <f t="shared" ref="Q518:Q534" si="512">IF(F518=0,"",L518+P518)</f>
        <v/>
      </c>
      <c r="R518" s="116"/>
    </row>
    <row r="519" spans="1:18" ht="55.2" x14ac:dyDescent="0.3">
      <c r="A519" s="83" t="str">
        <f>IF(TRIM(H519)&lt;&gt;"",COUNTA(H$9:$H519)&amp;"","")</f>
        <v>347</v>
      </c>
      <c r="B519" s="84"/>
      <c r="C519" s="84"/>
      <c r="D519" s="85"/>
      <c r="E519" s="86" t="s">
        <v>688</v>
      </c>
      <c r="F519" s="87">
        <v>20</v>
      </c>
      <c r="H519" s="88" t="s">
        <v>232</v>
      </c>
      <c r="I519" s="89">
        <f t="shared" si="504"/>
        <v>0</v>
      </c>
      <c r="J519" s="90">
        <f t="shared" si="505"/>
        <v>20</v>
      </c>
      <c r="K519" s="91">
        <f t="shared" si="506"/>
        <v>0</v>
      </c>
      <c r="L519" s="92">
        <f t="shared" si="507"/>
        <v>0</v>
      </c>
      <c r="M519" s="93">
        <f t="shared" si="508"/>
        <v>0</v>
      </c>
      <c r="N519" s="94">
        <f t="shared" si="509"/>
        <v>0</v>
      </c>
      <c r="O519" s="94">
        <f t="shared" si="510"/>
        <v>0</v>
      </c>
      <c r="P519" s="92">
        <f t="shared" si="511"/>
        <v>0</v>
      </c>
      <c r="Q519" s="95">
        <f t="shared" si="512"/>
        <v>0</v>
      </c>
      <c r="R519" s="116"/>
    </row>
    <row r="520" spans="1:18" ht="55.2" x14ac:dyDescent="0.3">
      <c r="A520" s="83" t="str">
        <f>IF(TRIM(H520)&lt;&gt;"",COUNTA(H$9:$H520)&amp;"","")</f>
        <v>348</v>
      </c>
      <c r="B520" s="84"/>
      <c r="C520" s="84"/>
      <c r="D520" s="85"/>
      <c r="E520" s="86" t="s">
        <v>689</v>
      </c>
      <c r="F520" s="87">
        <v>17</v>
      </c>
      <c r="H520" s="88" t="s">
        <v>232</v>
      </c>
      <c r="I520" s="89">
        <f t="shared" si="504"/>
        <v>0</v>
      </c>
      <c r="J520" s="90">
        <f t="shared" si="505"/>
        <v>17</v>
      </c>
      <c r="K520" s="91">
        <f t="shared" si="506"/>
        <v>0</v>
      </c>
      <c r="L520" s="92">
        <f t="shared" si="507"/>
        <v>0</v>
      </c>
      <c r="M520" s="93">
        <f t="shared" si="508"/>
        <v>0</v>
      </c>
      <c r="N520" s="94">
        <f t="shared" si="509"/>
        <v>0</v>
      </c>
      <c r="O520" s="94">
        <f t="shared" si="510"/>
        <v>0</v>
      </c>
      <c r="P520" s="92">
        <f t="shared" si="511"/>
        <v>0</v>
      </c>
      <c r="Q520" s="95">
        <f t="shared" si="512"/>
        <v>0</v>
      </c>
      <c r="R520" s="116"/>
    </row>
    <row r="521" spans="1:18" ht="55.2" x14ac:dyDescent="0.3">
      <c r="A521" s="83" t="str">
        <f>IF(TRIM(H521)&lt;&gt;"",COUNTA(H$9:$H521)&amp;"","")</f>
        <v>349</v>
      </c>
      <c r="B521" s="84"/>
      <c r="C521" s="84"/>
      <c r="D521" s="85"/>
      <c r="E521" s="86" t="s">
        <v>690</v>
      </c>
      <c r="F521" s="87">
        <v>21</v>
      </c>
      <c r="H521" s="88" t="s">
        <v>232</v>
      </c>
      <c r="I521" s="89">
        <f t="shared" si="504"/>
        <v>0</v>
      </c>
      <c r="J521" s="90">
        <f t="shared" si="505"/>
        <v>21</v>
      </c>
      <c r="K521" s="91">
        <f t="shared" si="506"/>
        <v>0</v>
      </c>
      <c r="L521" s="92">
        <f t="shared" si="507"/>
        <v>0</v>
      </c>
      <c r="M521" s="93">
        <f t="shared" si="508"/>
        <v>0</v>
      </c>
      <c r="N521" s="94">
        <f t="shared" si="509"/>
        <v>0</v>
      </c>
      <c r="O521" s="94">
        <f t="shared" si="510"/>
        <v>0</v>
      </c>
      <c r="P521" s="92">
        <f t="shared" si="511"/>
        <v>0</v>
      </c>
      <c r="Q521" s="95">
        <f t="shared" si="512"/>
        <v>0</v>
      </c>
      <c r="R521" s="116"/>
    </row>
    <row r="522" spans="1:18" ht="55.2" x14ac:dyDescent="0.3">
      <c r="A522" s="83" t="str">
        <f>IF(TRIM(H522)&lt;&gt;"",COUNTA(H$9:$H522)&amp;"","")</f>
        <v>350</v>
      </c>
      <c r="B522" s="84"/>
      <c r="C522" s="84"/>
      <c r="D522" s="85"/>
      <c r="E522" s="86" t="s">
        <v>691</v>
      </c>
      <c r="F522" s="87">
        <v>11</v>
      </c>
      <c r="H522" s="88" t="s">
        <v>232</v>
      </c>
      <c r="I522" s="89">
        <f t="shared" si="504"/>
        <v>0</v>
      </c>
      <c r="J522" s="90">
        <f t="shared" si="505"/>
        <v>11</v>
      </c>
      <c r="K522" s="91">
        <f t="shared" si="506"/>
        <v>0</v>
      </c>
      <c r="L522" s="92">
        <f t="shared" si="507"/>
        <v>0</v>
      </c>
      <c r="M522" s="93">
        <f t="shared" si="508"/>
        <v>0</v>
      </c>
      <c r="N522" s="94">
        <f t="shared" si="509"/>
        <v>0</v>
      </c>
      <c r="O522" s="94">
        <f t="shared" si="510"/>
        <v>0</v>
      </c>
      <c r="P522" s="92">
        <f t="shared" si="511"/>
        <v>0</v>
      </c>
      <c r="Q522" s="95">
        <f t="shared" si="512"/>
        <v>0</v>
      </c>
      <c r="R522" s="116"/>
    </row>
    <row r="523" spans="1:18" ht="55.2" x14ac:dyDescent="0.3">
      <c r="A523" s="83" t="str">
        <f>IF(TRIM(H523)&lt;&gt;"",COUNTA(H$9:$H523)&amp;"","")</f>
        <v>351</v>
      </c>
      <c r="B523" s="84"/>
      <c r="C523" s="84"/>
      <c r="D523" s="85"/>
      <c r="E523" s="86" t="s">
        <v>692</v>
      </c>
      <c r="F523" s="87">
        <v>17</v>
      </c>
      <c r="H523" s="88" t="s">
        <v>232</v>
      </c>
      <c r="I523" s="89">
        <f t="shared" si="504"/>
        <v>0</v>
      </c>
      <c r="J523" s="90">
        <f t="shared" si="505"/>
        <v>17</v>
      </c>
      <c r="K523" s="91">
        <f t="shared" si="506"/>
        <v>0</v>
      </c>
      <c r="L523" s="92">
        <f t="shared" si="507"/>
        <v>0</v>
      </c>
      <c r="M523" s="93">
        <f t="shared" si="508"/>
        <v>0</v>
      </c>
      <c r="N523" s="94">
        <f t="shared" si="509"/>
        <v>0</v>
      </c>
      <c r="O523" s="94">
        <f t="shared" si="510"/>
        <v>0</v>
      </c>
      <c r="P523" s="92">
        <f t="shared" si="511"/>
        <v>0</v>
      </c>
      <c r="Q523" s="95">
        <f t="shared" si="512"/>
        <v>0</v>
      </c>
      <c r="R523" s="116"/>
    </row>
    <row r="524" spans="1:18" ht="55.2" x14ac:dyDescent="0.3">
      <c r="A524" s="83" t="str">
        <f>IF(TRIM(H524)&lt;&gt;"",COUNTA(H$9:$H524)&amp;"","")</f>
        <v>352</v>
      </c>
      <c r="B524" s="84"/>
      <c r="C524" s="84"/>
      <c r="D524" s="85"/>
      <c r="E524" s="86" t="s">
        <v>693</v>
      </c>
      <c r="F524" s="87">
        <v>2</v>
      </c>
      <c r="H524" s="88" t="s">
        <v>232</v>
      </c>
      <c r="I524" s="89">
        <f t="shared" si="504"/>
        <v>0</v>
      </c>
      <c r="J524" s="90">
        <f t="shared" si="505"/>
        <v>2</v>
      </c>
      <c r="K524" s="91">
        <f t="shared" si="506"/>
        <v>0</v>
      </c>
      <c r="L524" s="92">
        <f t="shared" si="507"/>
        <v>0</v>
      </c>
      <c r="M524" s="93">
        <f t="shared" si="508"/>
        <v>0</v>
      </c>
      <c r="N524" s="94">
        <f t="shared" si="509"/>
        <v>0</v>
      </c>
      <c r="O524" s="94">
        <f t="shared" si="510"/>
        <v>0</v>
      </c>
      <c r="P524" s="92">
        <f t="shared" si="511"/>
        <v>0</v>
      </c>
      <c r="Q524" s="95">
        <f t="shared" si="512"/>
        <v>0</v>
      </c>
      <c r="R524" s="116"/>
    </row>
    <row r="525" spans="1:18" ht="55.2" x14ac:dyDescent="0.3">
      <c r="A525" s="83" t="str">
        <f>IF(TRIM(H525)&lt;&gt;"",COUNTA(H$9:$H525)&amp;"","")</f>
        <v>353</v>
      </c>
      <c r="B525" s="84"/>
      <c r="C525" s="84"/>
      <c r="D525" s="85"/>
      <c r="E525" s="86" t="s">
        <v>694</v>
      </c>
      <c r="F525" s="87">
        <v>14</v>
      </c>
      <c r="H525" s="88" t="s">
        <v>232</v>
      </c>
      <c r="I525" s="89">
        <f t="shared" si="504"/>
        <v>0</v>
      </c>
      <c r="J525" s="90">
        <f t="shared" si="505"/>
        <v>14</v>
      </c>
      <c r="K525" s="91">
        <f t="shared" si="506"/>
        <v>0</v>
      </c>
      <c r="L525" s="92">
        <f t="shared" si="507"/>
        <v>0</v>
      </c>
      <c r="M525" s="93">
        <f t="shared" si="508"/>
        <v>0</v>
      </c>
      <c r="N525" s="94">
        <f t="shared" si="509"/>
        <v>0</v>
      </c>
      <c r="O525" s="94">
        <f t="shared" si="510"/>
        <v>0</v>
      </c>
      <c r="P525" s="92">
        <f t="shared" si="511"/>
        <v>0</v>
      </c>
      <c r="Q525" s="95">
        <f t="shared" si="512"/>
        <v>0</v>
      </c>
      <c r="R525" s="116"/>
    </row>
    <row r="526" spans="1:18" ht="55.2" x14ac:dyDescent="0.3">
      <c r="A526" s="83" t="str">
        <f>IF(TRIM(H526)&lt;&gt;"",COUNTA(H$9:$H526)&amp;"","")</f>
        <v>354</v>
      </c>
      <c r="B526" s="84"/>
      <c r="C526" s="84"/>
      <c r="D526" s="85"/>
      <c r="E526" s="86" t="s">
        <v>695</v>
      </c>
      <c r="F526" s="87">
        <v>12</v>
      </c>
      <c r="H526" s="88" t="s">
        <v>232</v>
      </c>
      <c r="I526" s="89">
        <f t="shared" si="504"/>
        <v>0</v>
      </c>
      <c r="J526" s="90">
        <f t="shared" si="505"/>
        <v>12</v>
      </c>
      <c r="K526" s="91">
        <f t="shared" si="506"/>
        <v>0</v>
      </c>
      <c r="L526" s="92">
        <f t="shared" si="507"/>
        <v>0</v>
      </c>
      <c r="M526" s="93">
        <f t="shared" si="508"/>
        <v>0</v>
      </c>
      <c r="N526" s="94">
        <f t="shared" si="509"/>
        <v>0</v>
      </c>
      <c r="O526" s="94">
        <f t="shared" si="510"/>
        <v>0</v>
      </c>
      <c r="P526" s="92">
        <f t="shared" si="511"/>
        <v>0</v>
      </c>
      <c r="Q526" s="95">
        <f t="shared" si="512"/>
        <v>0</v>
      </c>
      <c r="R526" s="116"/>
    </row>
    <row r="527" spans="1:18" ht="55.2" x14ac:dyDescent="0.3">
      <c r="A527" s="83" t="str">
        <f>IF(TRIM(H527)&lt;&gt;"",COUNTA(H$9:$H527)&amp;"","")</f>
        <v>355</v>
      </c>
      <c r="B527" s="84"/>
      <c r="C527" s="84"/>
      <c r="D527" s="85"/>
      <c r="E527" s="86" t="s">
        <v>696</v>
      </c>
      <c r="F527" s="87">
        <v>4</v>
      </c>
      <c r="H527" s="88" t="s">
        <v>232</v>
      </c>
      <c r="I527" s="89">
        <f t="shared" si="504"/>
        <v>0</v>
      </c>
      <c r="J527" s="90">
        <f t="shared" si="505"/>
        <v>4</v>
      </c>
      <c r="K527" s="91">
        <f t="shared" si="506"/>
        <v>0</v>
      </c>
      <c r="L527" s="92">
        <f t="shared" si="507"/>
        <v>0</v>
      </c>
      <c r="M527" s="93">
        <f t="shared" si="508"/>
        <v>0</v>
      </c>
      <c r="N527" s="94">
        <f t="shared" si="509"/>
        <v>0</v>
      </c>
      <c r="O527" s="94">
        <f t="shared" si="510"/>
        <v>0</v>
      </c>
      <c r="P527" s="92">
        <f t="shared" si="511"/>
        <v>0</v>
      </c>
      <c r="Q527" s="95">
        <f t="shared" si="512"/>
        <v>0</v>
      </c>
      <c r="R527" s="116"/>
    </row>
    <row r="528" spans="1:18" ht="69" x14ac:dyDescent="0.3">
      <c r="A528" s="83" t="str">
        <f>IF(TRIM(H528)&lt;&gt;"",COUNTA(H$9:$H528)&amp;"","")</f>
        <v>356</v>
      </c>
      <c r="B528" s="84"/>
      <c r="C528" s="84"/>
      <c r="D528" s="85"/>
      <c r="E528" s="86" t="s">
        <v>697</v>
      </c>
      <c r="F528" s="87">
        <v>14</v>
      </c>
      <c r="H528" s="88" t="s">
        <v>232</v>
      </c>
      <c r="I528" s="89">
        <f t="shared" si="504"/>
        <v>0</v>
      </c>
      <c r="J528" s="90">
        <f t="shared" si="505"/>
        <v>14</v>
      </c>
      <c r="K528" s="91">
        <f t="shared" si="506"/>
        <v>0</v>
      </c>
      <c r="L528" s="92">
        <f t="shared" si="507"/>
        <v>0</v>
      </c>
      <c r="M528" s="93">
        <f t="shared" si="508"/>
        <v>0</v>
      </c>
      <c r="N528" s="94">
        <f t="shared" si="509"/>
        <v>0</v>
      </c>
      <c r="O528" s="94">
        <f t="shared" si="510"/>
        <v>0</v>
      </c>
      <c r="P528" s="92">
        <f t="shared" si="511"/>
        <v>0</v>
      </c>
      <c r="Q528" s="95">
        <f t="shared" si="512"/>
        <v>0</v>
      </c>
      <c r="R528" s="116"/>
    </row>
    <row r="529" spans="1:18" ht="69" x14ac:dyDescent="0.3">
      <c r="A529" s="83" t="str">
        <f>IF(TRIM(H529)&lt;&gt;"",COUNTA(H$9:$H529)&amp;"","")</f>
        <v>357</v>
      </c>
      <c r="B529" s="84"/>
      <c r="C529" s="84"/>
      <c r="D529" s="85"/>
      <c r="E529" s="86" t="s">
        <v>698</v>
      </c>
      <c r="F529" s="87">
        <v>4</v>
      </c>
      <c r="H529" s="88" t="s">
        <v>232</v>
      </c>
      <c r="I529" s="89">
        <f t="shared" si="504"/>
        <v>0</v>
      </c>
      <c r="J529" s="90">
        <f t="shared" si="505"/>
        <v>4</v>
      </c>
      <c r="K529" s="91">
        <f t="shared" si="506"/>
        <v>0</v>
      </c>
      <c r="L529" s="92">
        <f t="shared" si="507"/>
        <v>0</v>
      </c>
      <c r="M529" s="93">
        <f t="shared" si="508"/>
        <v>0</v>
      </c>
      <c r="N529" s="94">
        <f t="shared" si="509"/>
        <v>0</v>
      </c>
      <c r="O529" s="94">
        <f t="shared" si="510"/>
        <v>0</v>
      </c>
      <c r="P529" s="92">
        <f t="shared" si="511"/>
        <v>0</v>
      </c>
      <c r="Q529" s="95">
        <f t="shared" si="512"/>
        <v>0</v>
      </c>
      <c r="R529" s="116"/>
    </row>
    <row r="530" spans="1:18" ht="69" x14ac:dyDescent="0.3">
      <c r="A530" s="83" t="str">
        <f>IF(TRIM(H530)&lt;&gt;"",COUNTA(H$9:$H530)&amp;"","")</f>
        <v>358</v>
      </c>
      <c r="B530" s="84"/>
      <c r="C530" s="84"/>
      <c r="D530" s="85"/>
      <c r="E530" s="86" t="s">
        <v>699</v>
      </c>
      <c r="F530" s="87">
        <v>5</v>
      </c>
      <c r="H530" s="88" t="s">
        <v>232</v>
      </c>
      <c r="I530" s="89">
        <f t="shared" si="504"/>
        <v>0</v>
      </c>
      <c r="J530" s="90">
        <f t="shared" si="505"/>
        <v>5</v>
      </c>
      <c r="K530" s="91">
        <f t="shared" si="506"/>
        <v>0</v>
      </c>
      <c r="L530" s="92">
        <f t="shared" si="507"/>
        <v>0</v>
      </c>
      <c r="M530" s="93">
        <f t="shared" si="508"/>
        <v>0</v>
      </c>
      <c r="N530" s="94">
        <f t="shared" si="509"/>
        <v>0</v>
      </c>
      <c r="O530" s="94">
        <f t="shared" si="510"/>
        <v>0</v>
      </c>
      <c r="P530" s="92">
        <f t="shared" si="511"/>
        <v>0</v>
      </c>
      <c r="Q530" s="95">
        <f t="shared" si="512"/>
        <v>0</v>
      </c>
      <c r="R530" s="116"/>
    </row>
    <row r="531" spans="1:18" ht="69" x14ac:dyDescent="0.3">
      <c r="A531" s="83" t="str">
        <f>IF(TRIM(H531)&lt;&gt;"",COUNTA(H$9:$H531)&amp;"","")</f>
        <v>359</v>
      </c>
      <c r="B531" s="84"/>
      <c r="C531" s="84"/>
      <c r="D531" s="85"/>
      <c r="E531" s="86" t="s">
        <v>700</v>
      </c>
      <c r="F531" s="87">
        <v>5</v>
      </c>
      <c r="H531" s="88" t="s">
        <v>232</v>
      </c>
      <c r="I531" s="89">
        <f t="shared" si="504"/>
        <v>0</v>
      </c>
      <c r="J531" s="90">
        <f t="shared" si="505"/>
        <v>5</v>
      </c>
      <c r="K531" s="91">
        <f t="shared" si="506"/>
        <v>0</v>
      </c>
      <c r="L531" s="92">
        <f t="shared" si="507"/>
        <v>0</v>
      </c>
      <c r="M531" s="93">
        <f t="shared" si="508"/>
        <v>0</v>
      </c>
      <c r="N531" s="94">
        <f t="shared" si="509"/>
        <v>0</v>
      </c>
      <c r="O531" s="94">
        <f t="shared" si="510"/>
        <v>0</v>
      </c>
      <c r="P531" s="92">
        <f t="shared" si="511"/>
        <v>0</v>
      </c>
      <c r="Q531" s="95">
        <f t="shared" si="512"/>
        <v>0</v>
      </c>
      <c r="R531" s="116"/>
    </row>
    <row r="532" spans="1:18" ht="69" x14ac:dyDescent="0.3">
      <c r="A532" s="83" t="str">
        <f>IF(TRIM(H532)&lt;&gt;"",COUNTA(H$9:$H532)&amp;"","")</f>
        <v>360</v>
      </c>
      <c r="B532" s="84"/>
      <c r="C532" s="84"/>
      <c r="D532" s="85"/>
      <c r="E532" s="86" t="s">
        <v>701</v>
      </c>
      <c r="F532" s="87">
        <v>2</v>
      </c>
      <c r="H532" s="88" t="s">
        <v>232</v>
      </c>
      <c r="I532" s="89">
        <f t="shared" si="504"/>
        <v>0</v>
      </c>
      <c r="J532" s="90">
        <f t="shared" si="505"/>
        <v>2</v>
      </c>
      <c r="K532" s="91">
        <f t="shared" si="506"/>
        <v>0</v>
      </c>
      <c r="L532" s="92">
        <f t="shared" si="507"/>
        <v>0</v>
      </c>
      <c r="M532" s="93">
        <f t="shared" si="508"/>
        <v>0</v>
      </c>
      <c r="N532" s="94">
        <f t="shared" si="509"/>
        <v>0</v>
      </c>
      <c r="O532" s="94">
        <f t="shared" si="510"/>
        <v>0</v>
      </c>
      <c r="P532" s="92">
        <f t="shared" si="511"/>
        <v>0</v>
      </c>
      <c r="Q532" s="95">
        <f t="shared" si="512"/>
        <v>0</v>
      </c>
      <c r="R532" s="116"/>
    </row>
    <row r="533" spans="1:18" ht="69" x14ac:dyDescent="0.3">
      <c r="A533" s="83" t="str">
        <f>IF(TRIM(H533)&lt;&gt;"",COUNTA(H$9:$H533)&amp;"","")</f>
        <v>361</v>
      </c>
      <c r="B533" s="84"/>
      <c r="C533" s="84"/>
      <c r="D533" s="85"/>
      <c r="E533" s="86" t="s">
        <v>702</v>
      </c>
      <c r="F533" s="87">
        <v>1</v>
      </c>
      <c r="H533" s="88" t="s">
        <v>232</v>
      </c>
      <c r="I533" s="89">
        <f t="shared" si="504"/>
        <v>0</v>
      </c>
      <c r="J533" s="90">
        <f t="shared" si="505"/>
        <v>1</v>
      </c>
      <c r="K533" s="91">
        <f t="shared" si="506"/>
        <v>0</v>
      </c>
      <c r="L533" s="92">
        <f t="shared" si="507"/>
        <v>0</v>
      </c>
      <c r="M533" s="93">
        <f t="shared" si="508"/>
        <v>0</v>
      </c>
      <c r="N533" s="94">
        <f t="shared" si="509"/>
        <v>0</v>
      </c>
      <c r="O533" s="94">
        <f t="shared" si="510"/>
        <v>0</v>
      </c>
      <c r="P533" s="92">
        <f t="shared" si="511"/>
        <v>0</v>
      </c>
      <c r="Q533" s="95">
        <f t="shared" si="512"/>
        <v>0</v>
      </c>
      <c r="R533" s="116"/>
    </row>
    <row r="534" spans="1:18" ht="69" x14ac:dyDescent="0.3">
      <c r="A534" s="83" t="str">
        <f>IF(TRIM(H534)&lt;&gt;"",COUNTA(H$9:$H534)&amp;"","")</f>
        <v>362</v>
      </c>
      <c r="B534" s="84"/>
      <c r="C534" s="84"/>
      <c r="D534" s="85"/>
      <c r="E534" s="97" t="s">
        <v>703</v>
      </c>
      <c r="F534" s="87">
        <v>5</v>
      </c>
      <c r="H534" s="88" t="s">
        <v>232</v>
      </c>
      <c r="I534" s="89">
        <f t="shared" si="504"/>
        <v>0</v>
      </c>
      <c r="J534" s="90">
        <f t="shared" si="505"/>
        <v>5</v>
      </c>
      <c r="K534" s="91">
        <f t="shared" si="506"/>
        <v>0</v>
      </c>
      <c r="L534" s="92">
        <f t="shared" si="507"/>
        <v>0</v>
      </c>
      <c r="M534" s="93">
        <f t="shared" si="508"/>
        <v>0</v>
      </c>
      <c r="N534" s="94">
        <f t="shared" si="509"/>
        <v>0</v>
      </c>
      <c r="O534" s="94">
        <f t="shared" si="510"/>
        <v>0</v>
      </c>
      <c r="P534" s="92">
        <f t="shared" si="511"/>
        <v>0</v>
      </c>
      <c r="Q534" s="95">
        <f t="shared" si="512"/>
        <v>0</v>
      </c>
      <c r="R534" s="116"/>
    </row>
    <row r="535" spans="1:18" ht="41.4" x14ac:dyDescent="0.3">
      <c r="A535" s="83"/>
      <c r="B535" s="84"/>
      <c r="C535" s="84"/>
      <c r="D535" s="85"/>
      <c r="E535" s="152" t="s">
        <v>704</v>
      </c>
      <c r="F535" s="87"/>
      <c r="H535" s="88"/>
      <c r="I535" s="89"/>
      <c r="J535" s="90"/>
      <c r="K535" s="91"/>
      <c r="L535" s="92"/>
      <c r="M535" s="93"/>
      <c r="N535" s="94"/>
      <c r="O535" s="94"/>
      <c r="P535" s="92"/>
      <c r="Q535" s="95"/>
      <c r="R535" s="116"/>
    </row>
    <row r="536" spans="1:18" x14ac:dyDescent="0.3">
      <c r="A536" s="83"/>
      <c r="B536" s="84"/>
      <c r="C536" s="84"/>
      <c r="D536" s="85"/>
      <c r="E536" s="153"/>
      <c r="F536" s="87"/>
      <c r="H536" s="88"/>
      <c r="I536" s="89"/>
      <c r="J536" s="90"/>
      <c r="K536" s="91"/>
      <c r="L536" s="92"/>
      <c r="M536" s="93"/>
      <c r="N536" s="94"/>
      <c r="O536" s="94"/>
      <c r="P536" s="92"/>
      <c r="Q536" s="95"/>
      <c r="R536" s="116"/>
    </row>
    <row r="537" spans="1:18" ht="15.6" x14ac:dyDescent="0.3">
      <c r="A537" s="83" t="str">
        <f>IF(TRIM(H537)&lt;&gt;"",COUNTA(H$9:$H537)&amp;"","")</f>
        <v/>
      </c>
      <c r="B537" s="84"/>
      <c r="C537" s="84"/>
      <c r="D537" s="85"/>
      <c r="E537" s="157" t="s">
        <v>705</v>
      </c>
      <c r="F537" s="87"/>
      <c r="H537" s="88"/>
      <c r="I537" s="89" t="str">
        <f t="shared" ref="I537:I538" si="513">IF(F537=0,"",0)</f>
        <v/>
      </c>
      <c r="J537" s="90" t="str">
        <f t="shared" ref="J537:J538" si="514">IF(F537=0,"",F537+(F537*I537))</f>
        <v/>
      </c>
      <c r="K537" s="91" t="str">
        <f t="shared" ref="K537:K538" si="515">IF(F537=0,"",0)</f>
        <v/>
      </c>
      <c r="L537" s="92" t="str">
        <f t="shared" ref="L537:L538" si="516">IF(F537=0,"",K537*J537)</f>
        <v/>
      </c>
      <c r="M537" s="93" t="str">
        <f t="shared" ref="M537:M538" si="517">IF(F537=0,"",M$7)</f>
        <v/>
      </c>
      <c r="N537" s="94" t="str">
        <f t="shared" ref="N537:N538" si="518">IF(F537=0,"",0)</f>
        <v/>
      </c>
      <c r="O537" s="94" t="str">
        <f t="shared" ref="O537:O538" si="519">IF(F537=0,"",N537*J537)</f>
        <v/>
      </c>
      <c r="P537" s="92" t="str">
        <f t="shared" ref="P537:P538" si="520">IF(F537=0,"",O537*M537)</f>
        <v/>
      </c>
      <c r="Q537" s="95" t="str">
        <f t="shared" ref="Q537:Q538" si="521">IF(F537=0,"",L537+P537)</f>
        <v/>
      </c>
      <c r="R537" s="116"/>
    </row>
    <row r="538" spans="1:18" x14ac:dyDescent="0.3">
      <c r="A538" s="83" t="str">
        <f>IF(TRIM(H538)&lt;&gt;"",COUNTA(H$9:$H538)&amp;"","")</f>
        <v>363</v>
      </c>
      <c r="B538" s="84"/>
      <c r="C538" s="84"/>
      <c r="D538" s="85"/>
      <c r="E538" s="86" t="s">
        <v>706</v>
      </c>
      <c r="F538" s="87">
        <v>88</v>
      </c>
      <c r="H538" s="88" t="s">
        <v>232</v>
      </c>
      <c r="I538" s="89">
        <f t="shared" si="513"/>
        <v>0</v>
      </c>
      <c r="J538" s="90">
        <f t="shared" si="514"/>
        <v>88</v>
      </c>
      <c r="K538" s="91">
        <f t="shared" si="515"/>
        <v>0</v>
      </c>
      <c r="L538" s="92">
        <f t="shared" si="516"/>
        <v>0</v>
      </c>
      <c r="M538" s="93">
        <f t="shared" si="517"/>
        <v>0</v>
      </c>
      <c r="N538" s="94">
        <f t="shared" si="518"/>
        <v>0</v>
      </c>
      <c r="O538" s="94">
        <f t="shared" si="519"/>
        <v>0</v>
      </c>
      <c r="P538" s="92">
        <f t="shared" si="520"/>
        <v>0</v>
      </c>
      <c r="Q538" s="95">
        <f t="shared" si="521"/>
        <v>0</v>
      </c>
      <c r="R538" s="116"/>
    </row>
    <row r="539" spans="1:18" x14ac:dyDescent="0.3">
      <c r="A539" s="83"/>
      <c r="B539" s="84"/>
      <c r="C539" s="84"/>
      <c r="D539" s="85"/>
      <c r="F539" s="87"/>
      <c r="H539" s="88"/>
      <c r="I539" s="89"/>
      <c r="J539" s="90"/>
      <c r="K539" s="91"/>
      <c r="L539" s="92"/>
      <c r="M539" s="93"/>
      <c r="N539" s="94"/>
      <c r="O539" s="94"/>
      <c r="P539" s="92"/>
      <c r="Q539" s="95"/>
      <c r="R539" s="116"/>
    </row>
    <row r="540" spans="1:18" ht="15.6" x14ac:dyDescent="0.3">
      <c r="A540" s="83" t="str">
        <f>IF(TRIM(H540)&lt;&gt;"",COUNTA(H$9:$H540)&amp;"","")</f>
        <v/>
      </c>
      <c r="B540" s="84"/>
      <c r="C540" s="84"/>
      <c r="D540" s="85"/>
      <c r="E540" s="157" t="s">
        <v>158</v>
      </c>
      <c r="F540" s="87"/>
      <c r="H540" s="88"/>
      <c r="I540" s="89" t="str">
        <f t="shared" ref="I540:I548" si="522">IF(F540=0,"",0)</f>
        <v/>
      </c>
      <c r="J540" s="90" t="str">
        <f t="shared" ref="J540:J548" si="523">IF(F540=0,"",F540+(F540*I540))</f>
        <v/>
      </c>
      <c r="K540" s="91" t="str">
        <f t="shared" ref="K540:K548" si="524">IF(F540=0,"",0)</f>
        <v/>
      </c>
      <c r="L540" s="92" t="str">
        <f t="shared" ref="L540:L548" si="525">IF(F540=0,"",K540*J540)</f>
        <v/>
      </c>
      <c r="M540" s="93" t="str">
        <f t="shared" ref="M540:M548" si="526">IF(F540=0,"",M$7)</f>
        <v/>
      </c>
      <c r="N540" s="94" t="str">
        <f t="shared" ref="N540:N548" si="527">IF(F540=0,"",0)</f>
        <v/>
      </c>
      <c r="O540" s="94" t="str">
        <f t="shared" ref="O540:O548" si="528">IF(F540=0,"",N540*J540)</f>
        <v/>
      </c>
      <c r="P540" s="92" t="str">
        <f t="shared" ref="P540:P548" si="529">IF(F540=0,"",O540*M540)</f>
        <v/>
      </c>
      <c r="Q540" s="95" t="str">
        <f t="shared" ref="Q540:Q548" si="530">IF(F540=0,"",L540+P540)</f>
        <v/>
      </c>
      <c r="R540" s="116"/>
    </row>
    <row r="541" spans="1:18" ht="41.4" x14ac:dyDescent="0.3">
      <c r="A541" s="83" t="str">
        <f>IF(TRIM(H541)&lt;&gt;"",COUNTA(H$9:$H541)&amp;"","")</f>
        <v>364</v>
      </c>
      <c r="B541" s="84"/>
      <c r="C541" s="84"/>
      <c r="D541" s="85"/>
      <c r="E541" s="86" t="s">
        <v>707</v>
      </c>
      <c r="F541" s="87">
        <v>3</v>
      </c>
      <c r="H541" s="88" t="s">
        <v>232</v>
      </c>
      <c r="I541" s="89">
        <f t="shared" si="522"/>
        <v>0</v>
      </c>
      <c r="J541" s="90">
        <f t="shared" si="523"/>
        <v>3</v>
      </c>
      <c r="K541" s="91">
        <f t="shared" si="524"/>
        <v>0</v>
      </c>
      <c r="L541" s="92">
        <f t="shared" si="525"/>
        <v>0</v>
      </c>
      <c r="M541" s="93">
        <f t="shared" si="526"/>
        <v>0</v>
      </c>
      <c r="N541" s="94">
        <f t="shared" si="527"/>
        <v>0</v>
      </c>
      <c r="O541" s="94">
        <f t="shared" si="528"/>
        <v>0</v>
      </c>
      <c r="P541" s="92">
        <f t="shared" si="529"/>
        <v>0</v>
      </c>
      <c r="Q541" s="95">
        <f t="shared" si="530"/>
        <v>0</v>
      </c>
      <c r="R541" s="116"/>
    </row>
    <row r="542" spans="1:18" ht="41.4" x14ac:dyDescent="0.3">
      <c r="A542" s="83" t="str">
        <f>IF(TRIM(H542)&lt;&gt;"",COUNTA(H$9:$H542)&amp;"","")</f>
        <v>365</v>
      </c>
      <c r="B542" s="84"/>
      <c r="C542" s="84"/>
      <c r="D542" s="85"/>
      <c r="E542" s="86" t="s">
        <v>708</v>
      </c>
      <c r="F542" s="87">
        <v>11</v>
      </c>
      <c r="H542" s="88" t="s">
        <v>232</v>
      </c>
      <c r="I542" s="89">
        <f t="shared" si="522"/>
        <v>0</v>
      </c>
      <c r="J542" s="90">
        <f t="shared" si="523"/>
        <v>11</v>
      </c>
      <c r="K542" s="91">
        <f t="shared" si="524"/>
        <v>0</v>
      </c>
      <c r="L542" s="92">
        <f t="shared" si="525"/>
        <v>0</v>
      </c>
      <c r="M542" s="93">
        <f t="shared" si="526"/>
        <v>0</v>
      </c>
      <c r="N542" s="94">
        <f t="shared" si="527"/>
        <v>0</v>
      </c>
      <c r="O542" s="94">
        <f t="shared" si="528"/>
        <v>0</v>
      </c>
      <c r="P542" s="92">
        <f t="shared" si="529"/>
        <v>0</v>
      </c>
      <c r="Q542" s="95">
        <f t="shared" si="530"/>
        <v>0</v>
      </c>
      <c r="R542" s="116"/>
    </row>
    <row r="543" spans="1:18" ht="55.2" x14ac:dyDescent="0.3">
      <c r="A543" s="83" t="str">
        <f>IF(TRIM(H543)&lt;&gt;"",COUNTA(H$9:$H543)&amp;"","")</f>
        <v>366</v>
      </c>
      <c r="B543" s="84"/>
      <c r="C543" s="84"/>
      <c r="D543" s="85"/>
      <c r="E543" s="86" t="s">
        <v>709</v>
      </c>
      <c r="F543" s="87">
        <v>2</v>
      </c>
      <c r="H543" s="88" t="s">
        <v>232</v>
      </c>
      <c r="I543" s="89">
        <f t="shared" si="522"/>
        <v>0</v>
      </c>
      <c r="J543" s="90">
        <f t="shared" si="523"/>
        <v>2</v>
      </c>
      <c r="K543" s="91">
        <f t="shared" si="524"/>
        <v>0</v>
      </c>
      <c r="L543" s="92">
        <f t="shared" si="525"/>
        <v>0</v>
      </c>
      <c r="M543" s="93">
        <f t="shared" si="526"/>
        <v>0</v>
      </c>
      <c r="N543" s="94">
        <f t="shared" si="527"/>
        <v>0</v>
      </c>
      <c r="O543" s="94">
        <f t="shared" si="528"/>
        <v>0</v>
      </c>
      <c r="P543" s="92">
        <f t="shared" si="529"/>
        <v>0</v>
      </c>
      <c r="Q543" s="95">
        <f t="shared" si="530"/>
        <v>0</v>
      </c>
      <c r="R543" s="116"/>
    </row>
    <row r="544" spans="1:18" ht="41.4" x14ac:dyDescent="0.3">
      <c r="A544" s="83" t="str">
        <f>IF(TRIM(H544)&lt;&gt;"",COUNTA(H$9:$H544)&amp;"","")</f>
        <v>367</v>
      </c>
      <c r="B544" s="84"/>
      <c r="C544" s="84"/>
      <c r="D544" s="85"/>
      <c r="E544" s="86" t="s">
        <v>710</v>
      </c>
      <c r="F544" s="87">
        <v>4</v>
      </c>
      <c r="H544" s="88" t="s">
        <v>232</v>
      </c>
      <c r="I544" s="89">
        <f t="shared" si="522"/>
        <v>0</v>
      </c>
      <c r="J544" s="90">
        <f t="shared" si="523"/>
        <v>4</v>
      </c>
      <c r="K544" s="91">
        <f t="shared" si="524"/>
        <v>0</v>
      </c>
      <c r="L544" s="92">
        <f t="shared" si="525"/>
        <v>0</v>
      </c>
      <c r="M544" s="93">
        <f t="shared" si="526"/>
        <v>0</v>
      </c>
      <c r="N544" s="94">
        <f t="shared" si="527"/>
        <v>0</v>
      </c>
      <c r="O544" s="94">
        <f t="shared" si="528"/>
        <v>0</v>
      </c>
      <c r="P544" s="92">
        <f t="shared" si="529"/>
        <v>0</v>
      </c>
      <c r="Q544" s="95">
        <f t="shared" si="530"/>
        <v>0</v>
      </c>
      <c r="R544" s="116"/>
    </row>
    <row r="545" spans="1:18" ht="27.6" x14ac:dyDescent="0.3">
      <c r="A545" s="83" t="str">
        <f>IF(TRIM(H545)&lt;&gt;"",COUNTA(H$9:$H545)&amp;"","")</f>
        <v>368</v>
      </c>
      <c r="B545" s="84"/>
      <c r="C545" s="84"/>
      <c r="D545" s="85"/>
      <c r="E545" s="86" t="s">
        <v>711</v>
      </c>
      <c r="F545" s="87">
        <v>4</v>
      </c>
      <c r="H545" s="88" t="s">
        <v>232</v>
      </c>
      <c r="I545" s="89">
        <f t="shared" si="522"/>
        <v>0</v>
      </c>
      <c r="J545" s="90">
        <f t="shared" si="523"/>
        <v>4</v>
      </c>
      <c r="K545" s="91">
        <f t="shared" si="524"/>
        <v>0</v>
      </c>
      <c r="L545" s="92">
        <f t="shared" si="525"/>
        <v>0</v>
      </c>
      <c r="M545" s="93">
        <f t="shared" si="526"/>
        <v>0</v>
      </c>
      <c r="N545" s="94">
        <f t="shared" si="527"/>
        <v>0</v>
      </c>
      <c r="O545" s="94">
        <f t="shared" si="528"/>
        <v>0</v>
      </c>
      <c r="P545" s="92">
        <f t="shared" si="529"/>
        <v>0</v>
      </c>
      <c r="Q545" s="95">
        <f t="shared" si="530"/>
        <v>0</v>
      </c>
      <c r="R545" s="116"/>
    </row>
    <row r="546" spans="1:18" ht="27.6" x14ac:dyDescent="0.3">
      <c r="A546" s="83" t="str">
        <f>IF(TRIM(H546)&lt;&gt;"",COUNTA(H$9:$H546)&amp;"","")</f>
        <v>369</v>
      </c>
      <c r="B546" s="84"/>
      <c r="C546" s="84"/>
      <c r="D546" s="85"/>
      <c r="E546" s="86" t="s">
        <v>712</v>
      </c>
      <c r="F546" s="87">
        <v>14</v>
      </c>
      <c r="H546" s="88" t="s">
        <v>232</v>
      </c>
      <c r="I546" s="89">
        <f t="shared" si="522"/>
        <v>0</v>
      </c>
      <c r="J546" s="90">
        <f t="shared" si="523"/>
        <v>14</v>
      </c>
      <c r="K546" s="91">
        <f t="shared" si="524"/>
        <v>0</v>
      </c>
      <c r="L546" s="92">
        <f t="shared" si="525"/>
        <v>0</v>
      </c>
      <c r="M546" s="93">
        <f t="shared" si="526"/>
        <v>0</v>
      </c>
      <c r="N546" s="94">
        <f t="shared" si="527"/>
        <v>0</v>
      </c>
      <c r="O546" s="94">
        <f t="shared" si="528"/>
        <v>0</v>
      </c>
      <c r="P546" s="92">
        <f t="shared" si="529"/>
        <v>0</v>
      </c>
      <c r="Q546" s="95">
        <f t="shared" si="530"/>
        <v>0</v>
      </c>
      <c r="R546" s="116"/>
    </row>
    <row r="547" spans="1:18" ht="27.6" x14ac:dyDescent="0.3">
      <c r="A547" s="83" t="str">
        <f>IF(TRIM(H547)&lt;&gt;"",COUNTA(H$9:$H547)&amp;"","")</f>
        <v>370</v>
      </c>
      <c r="B547" s="84"/>
      <c r="C547" s="84"/>
      <c r="D547" s="85"/>
      <c r="E547" s="86" t="s">
        <v>713</v>
      </c>
      <c r="F547" s="87">
        <v>19</v>
      </c>
      <c r="H547" s="88" t="s">
        <v>232</v>
      </c>
      <c r="I547" s="89">
        <f t="shared" si="522"/>
        <v>0</v>
      </c>
      <c r="J547" s="90">
        <f t="shared" si="523"/>
        <v>19</v>
      </c>
      <c r="K547" s="91">
        <f t="shared" si="524"/>
        <v>0</v>
      </c>
      <c r="L547" s="92">
        <f t="shared" si="525"/>
        <v>0</v>
      </c>
      <c r="M547" s="93">
        <f t="shared" si="526"/>
        <v>0</v>
      </c>
      <c r="N547" s="94">
        <f t="shared" si="527"/>
        <v>0</v>
      </c>
      <c r="O547" s="94">
        <f t="shared" si="528"/>
        <v>0</v>
      </c>
      <c r="P547" s="92">
        <f t="shared" si="529"/>
        <v>0</v>
      </c>
      <c r="Q547" s="95">
        <f t="shared" si="530"/>
        <v>0</v>
      </c>
      <c r="R547" s="116"/>
    </row>
    <row r="548" spans="1:18" x14ac:dyDescent="0.3">
      <c r="A548" s="83"/>
      <c r="B548" s="84"/>
      <c r="C548" s="84"/>
      <c r="D548" s="85"/>
      <c r="E548" s="86" t="s">
        <v>714</v>
      </c>
      <c r="F548" s="87">
        <v>1</v>
      </c>
      <c r="H548" s="88" t="s">
        <v>232</v>
      </c>
      <c r="I548" s="89">
        <f t="shared" si="522"/>
        <v>0</v>
      </c>
      <c r="J548" s="90">
        <f t="shared" si="523"/>
        <v>1</v>
      </c>
      <c r="K548" s="91">
        <f t="shared" si="524"/>
        <v>0</v>
      </c>
      <c r="L548" s="92">
        <f t="shared" si="525"/>
        <v>0</v>
      </c>
      <c r="M548" s="93">
        <f t="shared" si="526"/>
        <v>0</v>
      </c>
      <c r="N548" s="94">
        <f t="shared" si="527"/>
        <v>0</v>
      </c>
      <c r="O548" s="94">
        <f t="shared" si="528"/>
        <v>0</v>
      </c>
      <c r="P548" s="92">
        <f t="shared" si="529"/>
        <v>0</v>
      </c>
      <c r="Q548" s="95">
        <f t="shared" si="530"/>
        <v>0</v>
      </c>
      <c r="R548" s="116"/>
    </row>
    <row r="549" spans="1:18" x14ac:dyDescent="0.3">
      <c r="A549" s="83"/>
      <c r="B549" s="84"/>
      <c r="C549" s="84"/>
      <c r="D549" s="85"/>
      <c r="E549" s="86"/>
      <c r="F549" s="87"/>
      <c r="H549" s="88"/>
      <c r="I549" s="89"/>
      <c r="J549" s="90"/>
      <c r="K549" s="91"/>
      <c r="L549" s="92"/>
      <c r="M549" s="93"/>
      <c r="N549" s="94"/>
      <c r="O549" s="94"/>
      <c r="P549" s="92"/>
      <c r="Q549" s="95"/>
      <c r="R549" s="116"/>
    </row>
    <row r="550" spans="1:18" ht="15.6" x14ac:dyDescent="0.3">
      <c r="A550" s="83" t="str">
        <f>IF(TRIM(H550)&lt;&gt;"",COUNTA(H$9:$H550)&amp;"","")</f>
        <v/>
      </c>
      <c r="B550" s="84"/>
      <c r="C550" s="84"/>
      <c r="D550" s="85"/>
      <c r="E550" s="157" t="s">
        <v>715</v>
      </c>
      <c r="F550" s="87"/>
      <c r="H550" s="88"/>
      <c r="I550" s="89" t="str">
        <f t="shared" ref="I550" si="531">IF(F550=0,"",0)</f>
        <v/>
      </c>
      <c r="J550" s="90" t="str">
        <f t="shared" ref="J550:J551" si="532">IF(F550=0,"",F550+(F550*I550))</f>
        <v/>
      </c>
      <c r="K550" s="91" t="str">
        <f t="shared" ref="K550:K551" si="533">IF(F550=0,"",0)</f>
        <v/>
      </c>
      <c r="L550" s="92" t="str">
        <f t="shared" ref="L550:L551" si="534">IF(F550=0,"",K550*J550)</f>
        <v/>
      </c>
      <c r="M550" s="93" t="str">
        <f t="shared" ref="M550:M551" si="535">IF(F550=0,"",M$7)</f>
        <v/>
      </c>
      <c r="N550" s="94" t="str">
        <f t="shared" ref="N550:N551" si="536">IF(F550=0,"",0)</f>
        <v/>
      </c>
      <c r="O550" s="94" t="str">
        <f t="shared" ref="O550:O551" si="537">IF(F550=0,"",N550*J550)</f>
        <v/>
      </c>
      <c r="P550" s="92" t="str">
        <f t="shared" ref="P550:P551" si="538">IF(F550=0,"",O550*M550)</f>
        <v/>
      </c>
      <c r="Q550" s="95" t="str">
        <f t="shared" ref="Q550:Q551" si="539">IF(F550=0,"",L550+P550)</f>
        <v/>
      </c>
      <c r="R550" s="116"/>
    </row>
    <row r="551" spans="1:18" x14ac:dyDescent="0.3">
      <c r="A551" s="83" t="str">
        <f>IF(TRIM(H551)&lt;&gt;"",COUNTA(H$9:$H551)&amp;"","")</f>
        <v>372</v>
      </c>
      <c r="B551" s="84"/>
      <c r="C551" s="84"/>
      <c r="D551" s="85"/>
      <c r="E551" s="86" t="s">
        <v>716</v>
      </c>
      <c r="F551" s="87">
        <v>154</v>
      </c>
      <c r="H551" s="88" t="s">
        <v>175</v>
      </c>
      <c r="I551" s="89">
        <v>0.05</v>
      </c>
      <c r="J551" s="90">
        <f t="shared" si="532"/>
        <v>161.69999999999999</v>
      </c>
      <c r="K551" s="91">
        <f t="shared" si="533"/>
        <v>0</v>
      </c>
      <c r="L551" s="92">
        <f t="shared" si="534"/>
        <v>0</v>
      </c>
      <c r="M551" s="93">
        <f t="shared" si="535"/>
        <v>0</v>
      </c>
      <c r="N551" s="94">
        <f t="shared" si="536"/>
        <v>0</v>
      </c>
      <c r="O551" s="94">
        <f t="shared" si="537"/>
        <v>0</v>
      </c>
      <c r="P551" s="92">
        <f t="shared" si="538"/>
        <v>0</v>
      </c>
      <c r="Q551" s="95">
        <f t="shared" si="539"/>
        <v>0</v>
      </c>
      <c r="R551" s="116"/>
    </row>
    <row r="552" spans="1:18" x14ac:dyDescent="0.3">
      <c r="A552" s="83"/>
      <c r="B552" s="84"/>
      <c r="C552" s="84"/>
      <c r="D552" s="85"/>
      <c r="E552" s="86"/>
      <c r="F552" s="87"/>
      <c r="H552" s="88"/>
      <c r="I552" s="89"/>
      <c r="J552" s="90"/>
      <c r="K552" s="91"/>
      <c r="L552" s="92"/>
      <c r="M552" s="93"/>
      <c r="N552" s="94"/>
      <c r="O552" s="94"/>
      <c r="P552" s="92"/>
      <c r="Q552" s="95"/>
      <c r="R552" s="116"/>
    </row>
    <row r="553" spans="1:18" ht="15.6" x14ac:dyDescent="0.3">
      <c r="A553" s="83" t="str">
        <f>IF(TRIM(H553)&lt;&gt;"",COUNTA(H$9:$H553)&amp;"","")</f>
        <v/>
      </c>
      <c r="B553" s="84"/>
      <c r="C553" s="84"/>
      <c r="D553" s="85"/>
      <c r="E553" s="157" t="s">
        <v>159</v>
      </c>
      <c r="F553" s="87"/>
      <c r="H553" s="88"/>
      <c r="I553" s="89" t="str">
        <f t="shared" ref="I553:I575" si="540">IF(F553=0,"",0)</f>
        <v/>
      </c>
      <c r="J553" s="90" t="str">
        <f t="shared" ref="J553:J575" si="541">IF(F553=0,"",F553+(F553*I553))</f>
        <v/>
      </c>
      <c r="K553" s="91" t="str">
        <f t="shared" ref="K553:K575" si="542">IF(F553=0,"",0)</f>
        <v/>
      </c>
      <c r="L553" s="92" t="str">
        <f t="shared" ref="L553:L575" si="543">IF(F553=0,"",K553*J553)</f>
        <v/>
      </c>
      <c r="M553" s="93" t="str">
        <f t="shared" ref="M553:M575" si="544">IF(F553=0,"",M$7)</f>
        <v/>
      </c>
      <c r="N553" s="94" t="str">
        <f t="shared" ref="N553:N575" si="545">IF(F553=0,"",0)</f>
        <v/>
      </c>
      <c r="O553" s="94" t="str">
        <f t="shared" ref="O553:O575" si="546">IF(F553=0,"",N553*J553)</f>
        <v/>
      </c>
      <c r="P553" s="92" t="str">
        <f t="shared" ref="P553:P575" si="547">IF(F553=0,"",O553*M553)</f>
        <v/>
      </c>
      <c r="Q553" s="95" t="str">
        <f t="shared" ref="Q553:Q575" si="548">IF(F553=0,"",L553+P553)</f>
        <v/>
      </c>
      <c r="R553" s="116"/>
    </row>
    <row r="554" spans="1:18" x14ac:dyDescent="0.3">
      <c r="A554" s="83" t="str">
        <f>IF(TRIM(H554)&lt;&gt;"",COUNTA(H$9:$H554)&amp;"","")</f>
        <v/>
      </c>
      <c r="B554" s="84"/>
      <c r="C554" s="84"/>
      <c r="D554" s="85"/>
      <c r="E554" s="121" t="s">
        <v>150</v>
      </c>
      <c r="F554" s="87"/>
      <c r="H554" s="88"/>
      <c r="I554" s="89" t="str">
        <f t="shared" si="540"/>
        <v/>
      </c>
      <c r="J554" s="90" t="str">
        <f t="shared" si="541"/>
        <v/>
      </c>
      <c r="K554" s="91" t="str">
        <f t="shared" si="542"/>
        <v/>
      </c>
      <c r="L554" s="92" t="str">
        <f t="shared" si="543"/>
        <v/>
      </c>
      <c r="M554" s="93" t="str">
        <f t="shared" si="544"/>
        <v/>
      </c>
      <c r="N554" s="94" t="str">
        <f t="shared" si="545"/>
        <v/>
      </c>
      <c r="O554" s="94" t="str">
        <f t="shared" si="546"/>
        <v/>
      </c>
      <c r="P554" s="92" t="str">
        <f t="shared" si="547"/>
        <v/>
      </c>
      <c r="Q554" s="95" t="str">
        <f t="shared" si="548"/>
        <v/>
      </c>
      <c r="R554" s="116"/>
    </row>
    <row r="555" spans="1:18" x14ac:dyDescent="0.3">
      <c r="A555" s="83" t="str">
        <f>IF(TRIM(H555)&lt;&gt;"",COUNTA(H$9:$H555)&amp;"","")</f>
        <v>373</v>
      </c>
      <c r="B555" s="84"/>
      <c r="C555" s="84"/>
      <c r="D555" s="85"/>
      <c r="E555" s="86" t="s">
        <v>674</v>
      </c>
      <c r="F555" s="87">
        <v>420</v>
      </c>
      <c r="H555" s="88" t="s">
        <v>175</v>
      </c>
      <c r="I555" s="89">
        <v>0.05</v>
      </c>
      <c r="J555" s="90">
        <f t="shared" si="541"/>
        <v>441</v>
      </c>
      <c r="K555" s="91">
        <f t="shared" si="542"/>
        <v>0</v>
      </c>
      <c r="L555" s="92">
        <f t="shared" si="543"/>
        <v>0</v>
      </c>
      <c r="M555" s="93">
        <f t="shared" si="544"/>
        <v>0</v>
      </c>
      <c r="N555" s="94">
        <f t="shared" si="545"/>
        <v>0</v>
      </c>
      <c r="O555" s="94">
        <f t="shared" si="546"/>
        <v>0</v>
      </c>
      <c r="P555" s="92">
        <f t="shared" si="547"/>
        <v>0</v>
      </c>
      <c r="Q555" s="95">
        <f t="shared" si="548"/>
        <v>0</v>
      </c>
      <c r="R555" s="116"/>
    </row>
    <row r="556" spans="1:18" x14ac:dyDescent="0.3">
      <c r="A556" s="83" t="str">
        <f>IF(TRIM(H556)&lt;&gt;"",COUNTA(H$9:$H556)&amp;"","")</f>
        <v>374</v>
      </c>
      <c r="B556" s="84"/>
      <c r="C556" s="84"/>
      <c r="D556" s="85"/>
      <c r="E556" s="86" t="s">
        <v>717</v>
      </c>
      <c r="F556" s="87">
        <v>420</v>
      </c>
      <c r="H556" s="88" t="s">
        <v>175</v>
      </c>
      <c r="I556" s="89">
        <v>0.05</v>
      </c>
      <c r="J556" s="90">
        <f t="shared" si="541"/>
        <v>441</v>
      </c>
      <c r="K556" s="91">
        <f t="shared" si="542"/>
        <v>0</v>
      </c>
      <c r="L556" s="92">
        <f t="shared" si="543"/>
        <v>0</v>
      </c>
      <c r="M556" s="93">
        <f t="shared" si="544"/>
        <v>0</v>
      </c>
      <c r="N556" s="94">
        <f t="shared" si="545"/>
        <v>0</v>
      </c>
      <c r="O556" s="94">
        <f t="shared" si="546"/>
        <v>0</v>
      </c>
      <c r="P556" s="92">
        <f t="shared" si="547"/>
        <v>0</v>
      </c>
      <c r="Q556" s="95">
        <f t="shared" si="548"/>
        <v>0</v>
      </c>
      <c r="R556" s="116"/>
    </row>
    <row r="557" spans="1:18" x14ac:dyDescent="0.3">
      <c r="A557" s="83" t="str">
        <f>IF(TRIM(H557)&lt;&gt;"",COUNTA(H$9:$H557)&amp;"","")</f>
        <v/>
      </c>
      <c r="B557" s="84"/>
      <c r="C557" s="84"/>
      <c r="D557" s="85"/>
      <c r="E557" s="97"/>
      <c r="F557" s="87"/>
      <c r="H557" s="88"/>
      <c r="I557" s="89" t="str">
        <f t="shared" si="540"/>
        <v/>
      </c>
      <c r="J557" s="90" t="str">
        <f t="shared" si="541"/>
        <v/>
      </c>
      <c r="K557" s="91" t="str">
        <f t="shared" si="542"/>
        <v/>
      </c>
      <c r="L557" s="92" t="str">
        <f t="shared" si="543"/>
        <v/>
      </c>
      <c r="M557" s="93" t="str">
        <f t="shared" si="544"/>
        <v/>
      </c>
      <c r="N557" s="94" t="str">
        <f t="shared" si="545"/>
        <v/>
      </c>
      <c r="O557" s="94" t="str">
        <f t="shared" si="546"/>
        <v/>
      </c>
      <c r="P557" s="92" t="str">
        <f t="shared" si="547"/>
        <v/>
      </c>
      <c r="Q557" s="95" t="str">
        <f t="shared" si="548"/>
        <v/>
      </c>
      <c r="R557" s="116"/>
    </row>
    <row r="558" spans="1:18" x14ac:dyDescent="0.3">
      <c r="A558" s="83" t="str">
        <f>IF(TRIM(H558)&lt;&gt;"",COUNTA(H$9:$H558)&amp;"","")</f>
        <v/>
      </c>
      <c r="B558" s="84"/>
      <c r="C558" s="84"/>
      <c r="D558" s="85"/>
      <c r="E558" s="121" t="s">
        <v>157</v>
      </c>
      <c r="F558" s="87"/>
      <c r="H558" s="88"/>
      <c r="I558" s="89" t="str">
        <f t="shared" si="540"/>
        <v/>
      </c>
      <c r="J558" s="90" t="str">
        <f t="shared" si="541"/>
        <v/>
      </c>
      <c r="K558" s="91" t="str">
        <f t="shared" si="542"/>
        <v/>
      </c>
      <c r="L558" s="92" t="str">
        <f t="shared" si="543"/>
        <v/>
      </c>
      <c r="M558" s="93" t="str">
        <f t="shared" si="544"/>
        <v/>
      </c>
      <c r="N558" s="94" t="str">
        <f t="shared" si="545"/>
        <v/>
      </c>
      <c r="O558" s="94" t="str">
        <f t="shared" si="546"/>
        <v/>
      </c>
      <c r="P558" s="92" t="str">
        <f t="shared" si="547"/>
        <v/>
      </c>
      <c r="Q558" s="95" t="str">
        <f t="shared" si="548"/>
        <v/>
      </c>
      <c r="R558" s="116"/>
    </row>
    <row r="559" spans="1:18" x14ac:dyDescent="0.3">
      <c r="A559" s="83" t="str">
        <f>IF(TRIM(H559)&lt;&gt;"",COUNTA(H$9:$H559)&amp;"","")</f>
        <v>375</v>
      </c>
      <c r="B559" s="84"/>
      <c r="C559" s="84"/>
      <c r="D559" s="85"/>
      <c r="E559" s="97" t="s">
        <v>718</v>
      </c>
      <c r="F559" s="87">
        <v>2</v>
      </c>
      <c r="H559" s="88" t="s">
        <v>232</v>
      </c>
      <c r="I559" s="89">
        <f t="shared" si="540"/>
        <v>0</v>
      </c>
      <c r="J559" s="90">
        <f t="shared" si="541"/>
        <v>2</v>
      </c>
      <c r="K559" s="91">
        <f t="shared" si="542"/>
        <v>0</v>
      </c>
      <c r="L559" s="92">
        <f t="shared" si="543"/>
        <v>0</v>
      </c>
      <c r="M559" s="93">
        <f t="shared" si="544"/>
        <v>0</v>
      </c>
      <c r="N559" s="94">
        <f t="shared" si="545"/>
        <v>0</v>
      </c>
      <c r="O559" s="94">
        <f t="shared" si="546"/>
        <v>0</v>
      </c>
      <c r="P559" s="92">
        <f t="shared" si="547"/>
        <v>0</v>
      </c>
      <c r="Q559" s="95">
        <f t="shared" si="548"/>
        <v>0</v>
      </c>
      <c r="R559" s="116"/>
    </row>
    <row r="560" spans="1:18" x14ac:dyDescent="0.3">
      <c r="A560" s="83" t="str">
        <f>IF(TRIM(H560)&lt;&gt;"",COUNTA(H$9:$H560)&amp;"","")</f>
        <v>376</v>
      </c>
      <c r="B560" s="84"/>
      <c r="C560" s="84"/>
      <c r="D560" s="85"/>
      <c r="E560" s="97" t="s">
        <v>719</v>
      </c>
      <c r="F560" s="87">
        <v>3</v>
      </c>
      <c r="H560" s="88" t="s">
        <v>232</v>
      </c>
      <c r="I560" s="89">
        <f t="shared" si="540"/>
        <v>0</v>
      </c>
      <c r="J560" s="90">
        <f t="shared" si="541"/>
        <v>3</v>
      </c>
      <c r="K560" s="91">
        <f t="shared" si="542"/>
        <v>0</v>
      </c>
      <c r="L560" s="92">
        <f t="shared" si="543"/>
        <v>0</v>
      </c>
      <c r="M560" s="93">
        <f t="shared" si="544"/>
        <v>0</v>
      </c>
      <c r="N560" s="94">
        <f t="shared" si="545"/>
        <v>0</v>
      </c>
      <c r="O560" s="94">
        <f t="shared" si="546"/>
        <v>0</v>
      </c>
      <c r="P560" s="92">
        <f t="shared" si="547"/>
        <v>0</v>
      </c>
      <c r="Q560" s="95">
        <f t="shared" si="548"/>
        <v>0</v>
      </c>
      <c r="R560" s="116"/>
    </row>
    <row r="561" spans="1:18" x14ac:dyDescent="0.3">
      <c r="A561" s="83" t="str">
        <f>IF(TRIM(H561)&lt;&gt;"",COUNTA(H$9:$H561)&amp;"","")</f>
        <v>377</v>
      </c>
      <c r="B561" s="84"/>
      <c r="C561" s="84"/>
      <c r="D561" s="85"/>
      <c r="E561" s="97" t="s">
        <v>720</v>
      </c>
      <c r="F561" s="87">
        <v>5</v>
      </c>
      <c r="H561" s="88" t="s">
        <v>232</v>
      </c>
      <c r="I561" s="89">
        <f t="shared" si="540"/>
        <v>0</v>
      </c>
      <c r="J561" s="90">
        <f t="shared" si="541"/>
        <v>5</v>
      </c>
      <c r="K561" s="91">
        <f t="shared" si="542"/>
        <v>0</v>
      </c>
      <c r="L561" s="92">
        <f t="shared" si="543"/>
        <v>0</v>
      </c>
      <c r="M561" s="93">
        <f t="shared" si="544"/>
        <v>0</v>
      </c>
      <c r="N561" s="94">
        <f t="shared" si="545"/>
        <v>0</v>
      </c>
      <c r="O561" s="94">
        <f t="shared" si="546"/>
        <v>0</v>
      </c>
      <c r="P561" s="92">
        <f t="shared" si="547"/>
        <v>0</v>
      </c>
      <c r="Q561" s="95">
        <f t="shared" si="548"/>
        <v>0</v>
      </c>
      <c r="R561" s="116"/>
    </row>
    <row r="562" spans="1:18" x14ac:dyDescent="0.3">
      <c r="A562" s="83" t="str">
        <f>IF(TRIM(H562)&lt;&gt;"",COUNTA(H$9:$H562)&amp;"","")</f>
        <v>378</v>
      </c>
      <c r="B562" s="84"/>
      <c r="C562" s="84"/>
      <c r="D562" s="85"/>
      <c r="E562" s="97" t="s">
        <v>721</v>
      </c>
      <c r="F562" s="87">
        <v>31</v>
      </c>
      <c r="H562" s="88" t="s">
        <v>232</v>
      </c>
      <c r="I562" s="89">
        <f t="shared" si="540"/>
        <v>0</v>
      </c>
      <c r="J562" s="90">
        <f t="shared" si="541"/>
        <v>31</v>
      </c>
      <c r="K562" s="91">
        <f t="shared" si="542"/>
        <v>0</v>
      </c>
      <c r="L562" s="92">
        <f t="shared" si="543"/>
        <v>0</v>
      </c>
      <c r="M562" s="93">
        <f t="shared" si="544"/>
        <v>0</v>
      </c>
      <c r="N562" s="94">
        <f t="shared" si="545"/>
        <v>0</v>
      </c>
      <c r="O562" s="94">
        <f t="shared" si="546"/>
        <v>0</v>
      </c>
      <c r="P562" s="92">
        <f t="shared" si="547"/>
        <v>0</v>
      </c>
      <c r="Q562" s="95">
        <f t="shared" si="548"/>
        <v>0</v>
      </c>
      <c r="R562" s="116"/>
    </row>
    <row r="563" spans="1:18" x14ac:dyDescent="0.3">
      <c r="A563" s="83" t="str">
        <f>IF(TRIM(H563)&lt;&gt;"",COUNTA(H$9:$H563)&amp;"","")</f>
        <v>379</v>
      </c>
      <c r="B563" s="84"/>
      <c r="C563" s="84"/>
      <c r="D563" s="85"/>
      <c r="E563" s="97" t="s">
        <v>722</v>
      </c>
      <c r="F563" s="87">
        <v>1</v>
      </c>
      <c r="H563" s="88" t="s">
        <v>232</v>
      </c>
      <c r="I563" s="89">
        <f t="shared" si="540"/>
        <v>0</v>
      </c>
      <c r="J563" s="90">
        <f t="shared" si="541"/>
        <v>1</v>
      </c>
      <c r="K563" s="91">
        <f t="shared" si="542"/>
        <v>0</v>
      </c>
      <c r="L563" s="92">
        <f t="shared" si="543"/>
        <v>0</v>
      </c>
      <c r="M563" s="93">
        <f t="shared" si="544"/>
        <v>0</v>
      </c>
      <c r="N563" s="94">
        <f t="shared" si="545"/>
        <v>0</v>
      </c>
      <c r="O563" s="94">
        <f t="shared" si="546"/>
        <v>0</v>
      </c>
      <c r="P563" s="92">
        <f t="shared" si="547"/>
        <v>0</v>
      </c>
      <c r="Q563" s="95">
        <f t="shared" si="548"/>
        <v>0</v>
      </c>
      <c r="R563" s="116"/>
    </row>
    <row r="564" spans="1:18" x14ac:dyDescent="0.3">
      <c r="A564" s="83" t="str">
        <f>IF(TRIM(H564)&lt;&gt;"",COUNTA(H$9:$H564)&amp;"","")</f>
        <v>380</v>
      </c>
      <c r="B564" s="84"/>
      <c r="C564" s="84"/>
      <c r="D564" s="85"/>
      <c r="E564" s="97" t="s">
        <v>723</v>
      </c>
      <c r="F564" s="87">
        <v>1</v>
      </c>
      <c r="H564" s="88" t="s">
        <v>232</v>
      </c>
      <c r="I564" s="89">
        <f t="shared" si="540"/>
        <v>0</v>
      </c>
      <c r="J564" s="90">
        <f t="shared" si="541"/>
        <v>1</v>
      </c>
      <c r="K564" s="91">
        <f t="shared" si="542"/>
        <v>0</v>
      </c>
      <c r="L564" s="92">
        <f t="shared" si="543"/>
        <v>0</v>
      </c>
      <c r="M564" s="93">
        <f t="shared" si="544"/>
        <v>0</v>
      </c>
      <c r="N564" s="94">
        <f t="shared" si="545"/>
        <v>0</v>
      </c>
      <c r="O564" s="94">
        <f t="shared" si="546"/>
        <v>0</v>
      </c>
      <c r="P564" s="92">
        <f t="shared" si="547"/>
        <v>0</v>
      </c>
      <c r="Q564" s="95">
        <f t="shared" si="548"/>
        <v>0</v>
      </c>
      <c r="R564" s="116"/>
    </row>
    <row r="565" spans="1:18" x14ac:dyDescent="0.3">
      <c r="A565" s="83" t="str">
        <f>IF(TRIM(H565)&lt;&gt;"",COUNTA(H$9:$H565)&amp;"","")</f>
        <v>381</v>
      </c>
      <c r="B565" s="84"/>
      <c r="C565" s="84"/>
      <c r="D565" s="85"/>
      <c r="E565" s="97" t="s">
        <v>706</v>
      </c>
      <c r="F565" s="87">
        <v>43</v>
      </c>
      <c r="H565" s="88" t="s">
        <v>232</v>
      </c>
      <c r="I565" s="89">
        <f t="shared" si="540"/>
        <v>0</v>
      </c>
      <c r="J565" s="90">
        <f t="shared" si="541"/>
        <v>43</v>
      </c>
      <c r="K565" s="91">
        <f t="shared" si="542"/>
        <v>0</v>
      </c>
      <c r="L565" s="92">
        <f t="shared" si="543"/>
        <v>0</v>
      </c>
      <c r="M565" s="93">
        <f t="shared" si="544"/>
        <v>0</v>
      </c>
      <c r="N565" s="94">
        <f t="shared" si="545"/>
        <v>0</v>
      </c>
      <c r="O565" s="94">
        <f t="shared" si="546"/>
        <v>0</v>
      </c>
      <c r="P565" s="92">
        <f t="shared" si="547"/>
        <v>0</v>
      </c>
      <c r="Q565" s="95">
        <f t="shared" si="548"/>
        <v>0</v>
      </c>
      <c r="R565" s="116"/>
    </row>
    <row r="566" spans="1:18" x14ac:dyDescent="0.3">
      <c r="A566" s="83" t="str">
        <f>IF(TRIM(H566)&lt;&gt;"",COUNTA(H$9:$H566)&amp;"","")</f>
        <v/>
      </c>
      <c r="B566" s="84"/>
      <c r="C566" s="84"/>
      <c r="D566" s="85"/>
      <c r="E566" s="97"/>
      <c r="F566" s="87"/>
      <c r="H566" s="88"/>
      <c r="I566" s="89" t="str">
        <f t="shared" si="540"/>
        <v/>
      </c>
      <c r="J566" s="90" t="str">
        <f t="shared" si="541"/>
        <v/>
      </c>
      <c r="K566" s="91" t="str">
        <f t="shared" si="542"/>
        <v/>
      </c>
      <c r="L566" s="92" t="str">
        <f t="shared" si="543"/>
        <v/>
      </c>
      <c r="M566" s="93" t="str">
        <f t="shared" si="544"/>
        <v/>
      </c>
      <c r="N566" s="94" t="str">
        <f t="shared" si="545"/>
        <v/>
      </c>
      <c r="O566" s="94" t="str">
        <f t="shared" si="546"/>
        <v/>
      </c>
      <c r="P566" s="92" t="str">
        <f t="shared" si="547"/>
        <v/>
      </c>
      <c r="Q566" s="95" t="str">
        <f t="shared" si="548"/>
        <v/>
      </c>
      <c r="R566" s="116"/>
    </row>
    <row r="567" spans="1:18" ht="15.6" x14ac:dyDescent="0.3">
      <c r="A567" s="83" t="str">
        <f>IF(TRIM(H567)&lt;&gt;"",COUNTA(H$9:$H567)&amp;"","")</f>
        <v/>
      </c>
      <c r="B567" s="84"/>
      <c r="C567" s="84"/>
      <c r="D567" s="85"/>
      <c r="E567" s="157" t="s">
        <v>160</v>
      </c>
      <c r="F567" s="87"/>
      <c r="H567" s="88"/>
      <c r="I567" s="89" t="str">
        <f t="shared" si="540"/>
        <v/>
      </c>
      <c r="J567" s="90" t="str">
        <f t="shared" si="541"/>
        <v/>
      </c>
      <c r="K567" s="91" t="str">
        <f t="shared" si="542"/>
        <v/>
      </c>
      <c r="L567" s="92" t="str">
        <f t="shared" si="543"/>
        <v/>
      </c>
      <c r="M567" s="93" t="str">
        <f t="shared" si="544"/>
        <v/>
      </c>
      <c r="N567" s="94" t="str">
        <f t="shared" si="545"/>
        <v/>
      </c>
      <c r="O567" s="94" t="str">
        <f t="shared" si="546"/>
        <v/>
      </c>
      <c r="P567" s="92" t="str">
        <f t="shared" si="547"/>
        <v/>
      </c>
      <c r="Q567" s="95" t="str">
        <f t="shared" si="548"/>
        <v/>
      </c>
      <c r="R567" s="116"/>
    </row>
    <row r="568" spans="1:18" x14ac:dyDescent="0.3">
      <c r="A568" s="83" t="str">
        <f>IF(TRIM(H568)&lt;&gt;"",COUNTA(H$9:$H568)&amp;"","")</f>
        <v/>
      </c>
      <c r="B568" s="84"/>
      <c r="C568" s="84"/>
      <c r="D568" s="85"/>
      <c r="E568" s="121" t="s">
        <v>150</v>
      </c>
      <c r="F568" s="87"/>
      <c r="H568" s="88"/>
      <c r="I568" s="89" t="str">
        <f t="shared" si="540"/>
        <v/>
      </c>
      <c r="J568" s="90" t="str">
        <f t="shared" si="541"/>
        <v/>
      </c>
      <c r="K568" s="91" t="str">
        <f t="shared" si="542"/>
        <v/>
      </c>
      <c r="L568" s="92" t="str">
        <f t="shared" si="543"/>
        <v/>
      </c>
      <c r="M568" s="93" t="str">
        <f t="shared" si="544"/>
        <v/>
      </c>
      <c r="N568" s="94" t="str">
        <f t="shared" si="545"/>
        <v/>
      </c>
      <c r="O568" s="94" t="str">
        <f t="shared" si="546"/>
        <v/>
      </c>
      <c r="P568" s="92" t="str">
        <f t="shared" si="547"/>
        <v/>
      </c>
      <c r="Q568" s="95" t="str">
        <f t="shared" si="548"/>
        <v/>
      </c>
      <c r="R568" s="116"/>
    </row>
    <row r="569" spans="1:18" x14ac:dyDescent="0.3">
      <c r="A569" s="83" t="str">
        <f>IF(TRIM(H569)&lt;&gt;"",COUNTA(H$9:$H569)&amp;"","")</f>
        <v>382</v>
      </c>
      <c r="B569" s="84"/>
      <c r="C569" s="84"/>
      <c r="D569" s="85"/>
      <c r="E569" s="86" t="s">
        <v>674</v>
      </c>
      <c r="F569" s="87">
        <v>60</v>
      </c>
      <c r="H569" s="88" t="s">
        <v>175</v>
      </c>
      <c r="I569" s="89">
        <f t="shared" si="540"/>
        <v>0</v>
      </c>
      <c r="J569" s="90">
        <f t="shared" si="541"/>
        <v>60</v>
      </c>
      <c r="K569" s="91">
        <f t="shared" si="542"/>
        <v>0</v>
      </c>
      <c r="L569" s="92">
        <f t="shared" si="543"/>
        <v>0</v>
      </c>
      <c r="M569" s="93">
        <f t="shared" si="544"/>
        <v>0</v>
      </c>
      <c r="N569" s="94">
        <f t="shared" si="545"/>
        <v>0</v>
      </c>
      <c r="O569" s="94">
        <f t="shared" si="546"/>
        <v>0</v>
      </c>
      <c r="P569" s="92">
        <f t="shared" si="547"/>
        <v>0</v>
      </c>
      <c r="Q569" s="95">
        <f t="shared" si="548"/>
        <v>0</v>
      </c>
      <c r="R569" s="116"/>
    </row>
    <row r="570" spans="1:18" x14ac:dyDescent="0.3">
      <c r="A570" s="83" t="str">
        <f>IF(TRIM(H570)&lt;&gt;"",COUNTA(H$9:$H570)&amp;"","")</f>
        <v>383</v>
      </c>
      <c r="B570" s="84"/>
      <c r="C570" s="84"/>
      <c r="D570" s="85"/>
      <c r="E570" s="86" t="s">
        <v>717</v>
      </c>
      <c r="F570" s="87">
        <v>60</v>
      </c>
      <c r="H570" s="88" t="s">
        <v>175</v>
      </c>
      <c r="I570" s="89">
        <f t="shared" si="540"/>
        <v>0</v>
      </c>
      <c r="J570" s="90">
        <f t="shared" si="541"/>
        <v>60</v>
      </c>
      <c r="K570" s="91">
        <f t="shared" si="542"/>
        <v>0</v>
      </c>
      <c r="L570" s="92">
        <f t="shared" si="543"/>
        <v>0</v>
      </c>
      <c r="M570" s="93">
        <f t="shared" si="544"/>
        <v>0</v>
      </c>
      <c r="N570" s="94">
        <f t="shared" si="545"/>
        <v>0</v>
      </c>
      <c r="O570" s="94">
        <f t="shared" si="546"/>
        <v>0</v>
      </c>
      <c r="P570" s="92">
        <f t="shared" si="547"/>
        <v>0</v>
      </c>
      <c r="Q570" s="95">
        <f t="shared" si="548"/>
        <v>0</v>
      </c>
      <c r="R570" s="116"/>
    </row>
    <row r="571" spans="1:18" x14ac:dyDescent="0.3">
      <c r="A571" s="83" t="str">
        <f>IF(TRIM(H571)&lt;&gt;"",COUNTA(H$9:$H571)&amp;"","")</f>
        <v/>
      </c>
      <c r="B571" s="84"/>
      <c r="C571" s="84"/>
      <c r="D571" s="85"/>
      <c r="E571" s="97"/>
      <c r="F571" s="87"/>
      <c r="H571" s="88"/>
      <c r="I571" s="89" t="str">
        <f t="shared" si="540"/>
        <v/>
      </c>
      <c r="J571" s="90" t="str">
        <f t="shared" si="541"/>
        <v/>
      </c>
      <c r="K571" s="91" t="str">
        <f t="shared" si="542"/>
        <v/>
      </c>
      <c r="L571" s="92" t="str">
        <f t="shared" si="543"/>
        <v/>
      </c>
      <c r="M571" s="93" t="str">
        <f t="shared" si="544"/>
        <v/>
      </c>
      <c r="N571" s="94" t="str">
        <f t="shared" si="545"/>
        <v/>
      </c>
      <c r="O571" s="94" t="str">
        <f t="shared" si="546"/>
        <v/>
      </c>
      <c r="P571" s="92" t="str">
        <f t="shared" si="547"/>
        <v/>
      </c>
      <c r="Q571" s="95" t="str">
        <f t="shared" si="548"/>
        <v/>
      </c>
      <c r="R571" s="116"/>
    </row>
    <row r="572" spans="1:18" x14ac:dyDescent="0.3">
      <c r="A572" s="83" t="str">
        <f>IF(TRIM(H572)&lt;&gt;"",COUNTA(H$9:$H572)&amp;"","")</f>
        <v/>
      </c>
      <c r="B572" s="84"/>
      <c r="C572" s="84"/>
      <c r="D572" s="85"/>
      <c r="E572" s="121" t="s">
        <v>157</v>
      </c>
      <c r="F572" s="87"/>
      <c r="H572" s="88"/>
      <c r="I572" s="89" t="str">
        <f t="shared" si="540"/>
        <v/>
      </c>
      <c r="J572" s="90" t="str">
        <f t="shared" si="541"/>
        <v/>
      </c>
      <c r="K572" s="91" t="str">
        <f t="shared" si="542"/>
        <v/>
      </c>
      <c r="L572" s="92" t="str">
        <f t="shared" si="543"/>
        <v/>
      </c>
      <c r="M572" s="93" t="str">
        <f t="shared" si="544"/>
        <v/>
      </c>
      <c r="N572" s="94" t="str">
        <f t="shared" si="545"/>
        <v/>
      </c>
      <c r="O572" s="94" t="str">
        <f t="shared" si="546"/>
        <v/>
      </c>
      <c r="P572" s="92" t="str">
        <f t="shared" si="547"/>
        <v/>
      </c>
      <c r="Q572" s="95" t="str">
        <f t="shared" si="548"/>
        <v/>
      </c>
      <c r="R572" s="116"/>
    </row>
    <row r="573" spans="1:18" x14ac:dyDescent="0.3">
      <c r="A573" s="83" t="str">
        <f>IF(TRIM(H573)&lt;&gt;"",COUNTA(H$9:$H573)&amp;"","")</f>
        <v>384</v>
      </c>
      <c r="B573" s="84"/>
      <c r="C573" s="84"/>
      <c r="D573" s="85"/>
      <c r="E573" s="97" t="s">
        <v>724</v>
      </c>
      <c r="F573" s="87">
        <v>4</v>
      </c>
      <c r="H573" s="88" t="s">
        <v>232</v>
      </c>
      <c r="I573" s="89">
        <f t="shared" si="540"/>
        <v>0</v>
      </c>
      <c r="J573" s="90">
        <f t="shared" si="541"/>
        <v>4</v>
      </c>
      <c r="K573" s="91">
        <f t="shared" si="542"/>
        <v>0</v>
      </c>
      <c r="L573" s="92">
        <f t="shared" si="543"/>
        <v>0</v>
      </c>
      <c r="M573" s="93">
        <f t="shared" si="544"/>
        <v>0</v>
      </c>
      <c r="N573" s="94">
        <f t="shared" si="545"/>
        <v>0</v>
      </c>
      <c r="O573" s="94">
        <f t="shared" si="546"/>
        <v>0</v>
      </c>
      <c r="P573" s="92">
        <f t="shared" si="547"/>
        <v>0</v>
      </c>
      <c r="Q573" s="95">
        <f t="shared" si="548"/>
        <v>0</v>
      </c>
      <c r="R573" s="116"/>
    </row>
    <row r="574" spans="1:18" x14ac:dyDescent="0.3">
      <c r="A574" s="83" t="str">
        <f>IF(TRIM(H574)&lt;&gt;"",COUNTA(H$9:$H574)&amp;"","")</f>
        <v>385</v>
      </c>
      <c r="B574" s="84"/>
      <c r="C574" s="84"/>
      <c r="D574" s="85"/>
      <c r="E574" s="97" t="s">
        <v>725</v>
      </c>
      <c r="F574" s="87">
        <v>2</v>
      </c>
      <c r="H574" s="88" t="s">
        <v>232</v>
      </c>
      <c r="I574" s="89">
        <f t="shared" si="540"/>
        <v>0</v>
      </c>
      <c r="J574" s="90">
        <f t="shared" si="541"/>
        <v>2</v>
      </c>
      <c r="K574" s="91">
        <f t="shared" si="542"/>
        <v>0</v>
      </c>
      <c r="L574" s="92">
        <f t="shared" si="543"/>
        <v>0</v>
      </c>
      <c r="M574" s="93">
        <f t="shared" si="544"/>
        <v>0</v>
      </c>
      <c r="N574" s="94">
        <f t="shared" si="545"/>
        <v>0</v>
      </c>
      <c r="O574" s="94">
        <f t="shared" si="546"/>
        <v>0</v>
      </c>
      <c r="P574" s="92">
        <f t="shared" si="547"/>
        <v>0</v>
      </c>
      <c r="Q574" s="95">
        <f t="shared" si="548"/>
        <v>0</v>
      </c>
      <c r="R574" s="116"/>
    </row>
    <row r="575" spans="1:18" x14ac:dyDescent="0.3">
      <c r="A575" s="83" t="str">
        <f>IF(TRIM(H575)&lt;&gt;"",COUNTA(H$9:$H575)&amp;"","")</f>
        <v>386</v>
      </c>
      <c r="B575" s="84"/>
      <c r="C575" s="84"/>
      <c r="D575" s="85"/>
      <c r="E575" s="97" t="s">
        <v>706</v>
      </c>
      <c r="F575" s="87">
        <v>6</v>
      </c>
      <c r="H575" s="88" t="s">
        <v>232</v>
      </c>
      <c r="I575" s="89">
        <f t="shared" si="540"/>
        <v>0</v>
      </c>
      <c r="J575" s="90">
        <f t="shared" si="541"/>
        <v>6</v>
      </c>
      <c r="K575" s="91">
        <f t="shared" si="542"/>
        <v>0</v>
      </c>
      <c r="L575" s="92">
        <f t="shared" si="543"/>
        <v>0</v>
      </c>
      <c r="M575" s="93">
        <f t="shared" si="544"/>
        <v>0</v>
      </c>
      <c r="N575" s="94">
        <f t="shared" si="545"/>
        <v>0</v>
      </c>
      <c r="O575" s="94">
        <f t="shared" si="546"/>
        <v>0</v>
      </c>
      <c r="P575" s="92">
        <f t="shared" si="547"/>
        <v>0</v>
      </c>
      <c r="Q575" s="95">
        <f t="shared" si="548"/>
        <v>0</v>
      </c>
      <c r="R575" s="116"/>
    </row>
    <row r="576" spans="1:18" ht="15" thickBot="1" x14ac:dyDescent="0.35">
      <c r="A576" s="83" t="str">
        <f>IF(TRIM(H576)&lt;&gt;"",COUNTA(H$9:$H576)&amp;"","")</f>
        <v/>
      </c>
      <c r="B576" s="98"/>
      <c r="C576" s="98"/>
      <c r="D576" s="85"/>
      <c r="E576" s="99"/>
      <c r="F576" s="87"/>
      <c r="H576" s="88"/>
      <c r="I576" s="89" t="str">
        <f t="shared" si="485"/>
        <v/>
      </c>
      <c r="J576" s="90" t="str">
        <f t="shared" si="486"/>
        <v/>
      </c>
      <c r="K576" s="91" t="str">
        <f t="shared" si="487"/>
        <v/>
      </c>
      <c r="L576" s="92" t="str">
        <f t="shared" si="488"/>
        <v/>
      </c>
      <c r="M576" s="93" t="str">
        <f t="shared" si="489"/>
        <v/>
      </c>
      <c r="N576" s="94" t="str">
        <f t="shared" si="490"/>
        <v/>
      </c>
      <c r="O576" s="94" t="str">
        <f t="shared" si="491"/>
        <v/>
      </c>
      <c r="P576" s="92" t="str">
        <f t="shared" si="492"/>
        <v/>
      </c>
      <c r="Q576" s="95" t="str">
        <f t="shared" si="493"/>
        <v/>
      </c>
      <c r="R576" s="116"/>
    </row>
    <row r="577" spans="1:18" s="111" customFormat="1" ht="16.2" thickBot="1" x14ac:dyDescent="0.35">
      <c r="A577" s="83" t="str">
        <f>IF(TRIM(H577)&lt;&gt;"",COUNTA(H$9:$H577)&amp;"","")</f>
        <v/>
      </c>
      <c r="B577" s="118"/>
      <c r="C577" s="118"/>
      <c r="D577" s="119"/>
      <c r="E577" s="102"/>
      <c r="F577" s="87"/>
      <c r="H577" s="120"/>
      <c r="I577" s="105" t="s">
        <v>12</v>
      </c>
      <c r="J577" s="106"/>
      <c r="K577" s="107">
        <f>SUM(L$441:L$576)</f>
        <v>0</v>
      </c>
      <c r="L577" s="211" t="s">
        <v>13</v>
      </c>
      <c r="M577" s="212"/>
      <c r="N577" s="108">
        <f>SUM(P$441:P$576)</f>
        <v>0</v>
      </c>
      <c r="O577" s="211" t="s">
        <v>42</v>
      </c>
      <c r="P577" s="212"/>
      <c r="Q577" s="109">
        <f>SUM(O$441:O$576)</f>
        <v>0</v>
      </c>
      <c r="R577" s="110">
        <f>SUM(Q$441:Q$576)</f>
        <v>0</v>
      </c>
    </row>
    <row r="578" spans="1:18" s="164" customFormat="1" ht="20.100000000000001" customHeight="1" x14ac:dyDescent="0.3">
      <c r="A578" s="160" t="str">
        <f>IF(TRIM(H578)&lt;&gt;"",COUNTA(H$9:$H578)&amp;"","")</f>
        <v/>
      </c>
      <c r="B578" s="161"/>
      <c r="C578" s="161"/>
      <c r="D578" s="162" t="s">
        <v>64</v>
      </c>
      <c r="E578" s="162" t="s">
        <v>107</v>
      </c>
      <c r="F578" s="163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5"/>
    </row>
    <row r="579" spans="1:18" s="113" customFormat="1" ht="19.2" customHeight="1" x14ac:dyDescent="0.3">
      <c r="A579" s="83" t="str">
        <f>IF(TRIM(H579)&lt;&gt;"",COUNTA(H$9:$H579)&amp;"","")</f>
        <v/>
      </c>
      <c r="B579" s="112"/>
      <c r="C579" s="112"/>
      <c r="D579" s="85"/>
      <c r="E579" s="157" t="s">
        <v>108</v>
      </c>
      <c r="F579" s="87"/>
      <c r="H579" s="88"/>
      <c r="I579" s="89" t="str">
        <f t="shared" ref="I579:I591" si="549">IF(F579=0,"",0)</f>
        <v/>
      </c>
      <c r="J579" s="90" t="str">
        <f t="shared" ref="J579:J591" si="550">IF(F579=0,"",F579+(F579*I579))</f>
        <v/>
      </c>
      <c r="K579" s="91" t="str">
        <f t="shared" ref="K579:K591" si="551">IF(F579=0,"",0)</f>
        <v/>
      </c>
      <c r="L579" s="92" t="str">
        <f t="shared" ref="L579:L591" si="552">IF(F579=0,"",K579*J579)</f>
        <v/>
      </c>
      <c r="M579" s="93" t="str">
        <f t="shared" ref="M579:M591" si="553">IF(F579=0,"",M$7)</f>
        <v/>
      </c>
      <c r="N579" s="94" t="str">
        <f t="shared" ref="N579:N591" si="554">IF(F579=0,"",0)</f>
        <v/>
      </c>
      <c r="O579" s="94" t="str">
        <f t="shared" ref="O579:O591" si="555">IF(F579=0,"",N579*J579)</f>
        <v/>
      </c>
      <c r="P579" s="92" t="str">
        <f t="shared" ref="P579:P591" si="556">IF(F579=0,"",O579*M579)</f>
        <v/>
      </c>
      <c r="Q579" s="95" t="str">
        <f t="shared" ref="Q579:Q591" si="557">IF(F579=0,"",L579+P579)</f>
        <v/>
      </c>
      <c r="R579" s="96"/>
    </row>
    <row r="580" spans="1:18" x14ac:dyDescent="0.3">
      <c r="A580" s="83" t="str">
        <f>IF(TRIM(H580)&lt;&gt;"",COUNTA(H$9:$H580)&amp;"","")</f>
        <v>387</v>
      </c>
      <c r="B580" s="84" t="s">
        <v>241</v>
      </c>
      <c r="C580" s="84" t="s">
        <v>251</v>
      </c>
      <c r="D580" s="85"/>
      <c r="E580" s="97" t="s">
        <v>254</v>
      </c>
      <c r="F580" s="87">
        <v>35</v>
      </c>
      <c r="G580" s="64">
        <f>310*3/27</f>
        <v>34.444444444444443</v>
      </c>
      <c r="H580" s="88" t="s">
        <v>176</v>
      </c>
      <c r="I580" s="89">
        <f t="shared" si="549"/>
        <v>0</v>
      </c>
      <c r="J580" s="90">
        <f t="shared" si="550"/>
        <v>35</v>
      </c>
      <c r="K580" s="91">
        <f t="shared" si="551"/>
        <v>0</v>
      </c>
      <c r="L580" s="92">
        <f t="shared" si="552"/>
        <v>0</v>
      </c>
      <c r="M580" s="93">
        <f t="shared" si="553"/>
        <v>0</v>
      </c>
      <c r="N580" s="94">
        <f t="shared" si="554"/>
        <v>0</v>
      </c>
      <c r="O580" s="94">
        <f t="shared" si="555"/>
        <v>0</v>
      </c>
      <c r="P580" s="92">
        <f t="shared" si="556"/>
        <v>0</v>
      </c>
      <c r="Q580" s="95">
        <f t="shared" si="557"/>
        <v>0</v>
      </c>
      <c r="R580" s="116"/>
    </row>
    <row r="581" spans="1:18" x14ac:dyDescent="0.3">
      <c r="A581" s="83" t="str">
        <f>IF(TRIM(H581)&lt;&gt;"",COUNTA(H$9:$H581)&amp;"","")</f>
        <v>388</v>
      </c>
      <c r="B581" s="84" t="s">
        <v>241</v>
      </c>
      <c r="C581" s="84" t="s">
        <v>251</v>
      </c>
      <c r="D581" s="85"/>
      <c r="E581" s="97" t="s">
        <v>255</v>
      </c>
      <c r="F581" s="87">
        <v>11</v>
      </c>
      <c r="G581" s="64">
        <f>35-13-11</f>
        <v>11</v>
      </c>
      <c r="H581" s="88" t="s">
        <v>176</v>
      </c>
      <c r="I581" s="89">
        <f t="shared" si="549"/>
        <v>0</v>
      </c>
      <c r="J581" s="90">
        <f t="shared" si="550"/>
        <v>11</v>
      </c>
      <c r="K581" s="91">
        <f t="shared" si="551"/>
        <v>0</v>
      </c>
      <c r="L581" s="92">
        <f t="shared" si="552"/>
        <v>0</v>
      </c>
      <c r="M581" s="93">
        <f t="shared" si="553"/>
        <v>0</v>
      </c>
      <c r="N581" s="94">
        <f t="shared" si="554"/>
        <v>0</v>
      </c>
      <c r="O581" s="94">
        <f t="shared" si="555"/>
        <v>0</v>
      </c>
      <c r="P581" s="92">
        <f t="shared" si="556"/>
        <v>0</v>
      </c>
      <c r="Q581" s="95">
        <f t="shared" si="557"/>
        <v>0</v>
      </c>
      <c r="R581" s="116"/>
    </row>
    <row r="582" spans="1:18" x14ac:dyDescent="0.3">
      <c r="A582" s="83" t="str">
        <f>IF(TRIM(H582)&lt;&gt;"",COUNTA(H$9:$H582)&amp;"","")</f>
        <v>389</v>
      </c>
      <c r="B582" s="84" t="s">
        <v>241</v>
      </c>
      <c r="C582" s="84" t="s">
        <v>251</v>
      </c>
      <c r="D582" s="85"/>
      <c r="E582" s="97" t="s">
        <v>253</v>
      </c>
      <c r="F582" s="87">
        <v>11</v>
      </c>
      <c r="G582" s="64">
        <f>290*0.5/27+3*0.5*81/27+20*0.5/27+2.167*0.5*18/27</f>
        <v>10.963074074074074</v>
      </c>
      <c r="H582" s="88" t="s">
        <v>176</v>
      </c>
      <c r="I582" s="89">
        <f t="shared" si="549"/>
        <v>0</v>
      </c>
      <c r="J582" s="90">
        <f t="shared" si="550"/>
        <v>11</v>
      </c>
      <c r="K582" s="91">
        <f t="shared" si="551"/>
        <v>0</v>
      </c>
      <c r="L582" s="92">
        <f t="shared" si="552"/>
        <v>0</v>
      </c>
      <c r="M582" s="93">
        <f t="shared" si="553"/>
        <v>0</v>
      </c>
      <c r="N582" s="94">
        <f t="shared" si="554"/>
        <v>0</v>
      </c>
      <c r="O582" s="94">
        <f t="shared" si="555"/>
        <v>0</v>
      </c>
      <c r="P582" s="92">
        <f t="shared" si="556"/>
        <v>0</v>
      </c>
      <c r="Q582" s="95">
        <f t="shared" si="557"/>
        <v>0</v>
      </c>
      <c r="R582" s="116"/>
    </row>
    <row r="583" spans="1:18" s="113" customFormat="1" ht="19.2" customHeight="1" x14ac:dyDescent="0.3">
      <c r="A583" s="83" t="str">
        <f>IF(TRIM(H583)&lt;&gt;"",COUNTA(H$9:$H583)&amp;"","")</f>
        <v/>
      </c>
      <c r="B583" s="112"/>
      <c r="C583" s="112"/>
      <c r="D583" s="85"/>
      <c r="E583" s="157" t="s">
        <v>273</v>
      </c>
      <c r="F583" s="87"/>
      <c r="H583" s="88"/>
      <c r="I583" s="89" t="str">
        <f t="shared" si="549"/>
        <v/>
      </c>
      <c r="J583" s="90" t="str">
        <f t="shared" si="550"/>
        <v/>
      </c>
      <c r="K583" s="91" t="str">
        <f t="shared" si="551"/>
        <v/>
      </c>
      <c r="L583" s="92" t="str">
        <f t="shared" si="552"/>
        <v/>
      </c>
      <c r="M583" s="93" t="str">
        <f t="shared" si="553"/>
        <v/>
      </c>
      <c r="N583" s="94" t="str">
        <f t="shared" si="554"/>
        <v/>
      </c>
      <c r="O583" s="94" t="str">
        <f t="shared" si="555"/>
        <v/>
      </c>
      <c r="P583" s="92" t="str">
        <f t="shared" si="556"/>
        <v/>
      </c>
      <c r="Q583" s="95" t="str">
        <f t="shared" si="557"/>
        <v/>
      </c>
      <c r="R583" s="96"/>
    </row>
    <row r="584" spans="1:18" x14ac:dyDescent="0.3">
      <c r="A584" s="83" t="str">
        <f>IF(TRIM(H584)&lt;&gt;"",COUNTA(H$9:$H584)&amp;"","")</f>
        <v>390</v>
      </c>
      <c r="B584" s="84" t="s">
        <v>275</v>
      </c>
      <c r="C584" s="84" t="s">
        <v>276</v>
      </c>
      <c r="D584" s="85"/>
      <c r="E584" s="97" t="s">
        <v>274</v>
      </c>
      <c r="F584" s="87">
        <v>5</v>
      </c>
      <c r="H584" s="88" t="s">
        <v>232</v>
      </c>
      <c r="I584" s="89">
        <f t="shared" si="549"/>
        <v>0</v>
      </c>
      <c r="J584" s="90">
        <f t="shared" si="550"/>
        <v>5</v>
      </c>
      <c r="K584" s="91">
        <f t="shared" si="551"/>
        <v>0</v>
      </c>
      <c r="L584" s="92">
        <f t="shared" si="552"/>
        <v>0</v>
      </c>
      <c r="M584" s="93">
        <f t="shared" si="553"/>
        <v>0</v>
      </c>
      <c r="N584" s="94">
        <f t="shared" si="554"/>
        <v>0</v>
      </c>
      <c r="O584" s="94">
        <f t="shared" si="555"/>
        <v>0</v>
      </c>
      <c r="P584" s="92">
        <f t="shared" si="556"/>
        <v>0</v>
      </c>
      <c r="Q584" s="95">
        <f t="shared" si="557"/>
        <v>0</v>
      </c>
      <c r="R584" s="116"/>
    </row>
    <row r="585" spans="1:18" x14ac:dyDescent="0.3">
      <c r="A585" s="83" t="str">
        <f>IF(TRIM(H585)&lt;&gt;"",COUNTA(H$9:$H585)&amp;"","")</f>
        <v>391</v>
      </c>
      <c r="B585" s="84"/>
      <c r="C585" s="84"/>
      <c r="D585" s="85"/>
      <c r="E585" s="97" t="s">
        <v>277</v>
      </c>
      <c r="F585" s="87">
        <v>1780</v>
      </c>
      <c r="H585" s="88" t="s">
        <v>175</v>
      </c>
      <c r="I585" s="89">
        <f t="shared" si="549"/>
        <v>0</v>
      </c>
      <c r="J585" s="90">
        <f t="shared" si="550"/>
        <v>1780</v>
      </c>
      <c r="K585" s="91">
        <f t="shared" si="551"/>
        <v>0</v>
      </c>
      <c r="L585" s="92">
        <f t="shared" si="552"/>
        <v>0</v>
      </c>
      <c r="M585" s="93">
        <f t="shared" si="553"/>
        <v>0</v>
      </c>
      <c r="N585" s="94">
        <f t="shared" si="554"/>
        <v>0</v>
      </c>
      <c r="O585" s="94">
        <f t="shared" si="555"/>
        <v>0</v>
      </c>
      <c r="P585" s="92">
        <f t="shared" si="556"/>
        <v>0</v>
      </c>
      <c r="Q585" s="95">
        <f t="shared" si="557"/>
        <v>0</v>
      </c>
      <c r="R585" s="116"/>
    </row>
    <row r="586" spans="1:18" x14ac:dyDescent="0.3">
      <c r="A586" s="83" t="str">
        <f>IF(TRIM(H586)&lt;&gt;"",COUNTA(H$9:$H586)&amp;"","")</f>
        <v>392</v>
      </c>
      <c r="B586" s="84"/>
      <c r="C586" s="84"/>
      <c r="D586" s="85"/>
      <c r="E586" s="97" t="s">
        <v>278</v>
      </c>
      <c r="F586" s="87">
        <v>1205</v>
      </c>
      <c r="H586" s="88" t="s">
        <v>147</v>
      </c>
      <c r="I586" s="89">
        <f t="shared" si="549"/>
        <v>0</v>
      </c>
      <c r="J586" s="90">
        <f t="shared" si="550"/>
        <v>1205</v>
      </c>
      <c r="K586" s="91">
        <f t="shared" si="551"/>
        <v>0</v>
      </c>
      <c r="L586" s="92">
        <f t="shared" si="552"/>
        <v>0</v>
      </c>
      <c r="M586" s="93">
        <f t="shared" si="553"/>
        <v>0</v>
      </c>
      <c r="N586" s="94">
        <f t="shared" si="554"/>
        <v>0</v>
      </c>
      <c r="O586" s="94">
        <f t="shared" si="555"/>
        <v>0</v>
      </c>
      <c r="P586" s="92">
        <f t="shared" si="556"/>
        <v>0</v>
      </c>
      <c r="Q586" s="95">
        <f t="shared" si="557"/>
        <v>0</v>
      </c>
      <c r="R586" s="116"/>
    </row>
    <row r="587" spans="1:18" s="113" customFormat="1" ht="19.2" customHeight="1" x14ac:dyDescent="0.3">
      <c r="A587" s="83" t="str">
        <f>IF(TRIM(H587)&lt;&gt;"",COUNTA(H$9:$H587)&amp;"","")</f>
        <v/>
      </c>
      <c r="B587" s="112"/>
      <c r="C587" s="112"/>
      <c r="D587" s="85"/>
      <c r="E587" s="157" t="s">
        <v>279</v>
      </c>
      <c r="F587" s="87"/>
      <c r="H587" s="88"/>
      <c r="I587" s="89" t="str">
        <f t="shared" si="549"/>
        <v/>
      </c>
      <c r="J587" s="90" t="str">
        <f t="shared" si="550"/>
        <v/>
      </c>
      <c r="K587" s="91" t="str">
        <f t="shared" si="551"/>
        <v/>
      </c>
      <c r="L587" s="92" t="str">
        <f t="shared" si="552"/>
        <v/>
      </c>
      <c r="M587" s="93" t="str">
        <f t="shared" si="553"/>
        <v/>
      </c>
      <c r="N587" s="94" t="str">
        <f t="shared" si="554"/>
        <v/>
      </c>
      <c r="O587" s="94" t="str">
        <f t="shared" si="555"/>
        <v/>
      </c>
      <c r="P587" s="92" t="str">
        <f t="shared" si="556"/>
        <v/>
      </c>
      <c r="Q587" s="95" t="str">
        <f t="shared" si="557"/>
        <v/>
      </c>
      <c r="R587" s="96"/>
    </row>
    <row r="588" spans="1:18" x14ac:dyDescent="0.3">
      <c r="A588" s="83" t="str">
        <f>IF(TRIM(H588)&lt;&gt;"",COUNTA(H$9:$H588)&amp;"","")</f>
        <v>393</v>
      </c>
      <c r="B588" s="84" t="s">
        <v>275</v>
      </c>
      <c r="C588" s="84"/>
      <c r="D588" s="85"/>
      <c r="E588" s="97" t="s">
        <v>280</v>
      </c>
      <c r="F588" s="87">
        <v>1</v>
      </c>
      <c r="H588" s="88" t="s">
        <v>181</v>
      </c>
      <c r="I588" s="89">
        <f t="shared" si="549"/>
        <v>0</v>
      </c>
      <c r="J588" s="90">
        <f t="shared" si="550"/>
        <v>1</v>
      </c>
      <c r="K588" s="91">
        <f t="shared" si="551"/>
        <v>0</v>
      </c>
      <c r="L588" s="92">
        <f t="shared" si="552"/>
        <v>0</v>
      </c>
      <c r="M588" s="93">
        <f t="shared" si="553"/>
        <v>0</v>
      </c>
      <c r="N588" s="94">
        <f t="shared" si="554"/>
        <v>0</v>
      </c>
      <c r="O588" s="94">
        <f t="shared" si="555"/>
        <v>0</v>
      </c>
      <c r="P588" s="92">
        <f t="shared" si="556"/>
        <v>0</v>
      </c>
      <c r="Q588" s="95">
        <f t="shared" si="557"/>
        <v>0</v>
      </c>
      <c r="R588" s="116"/>
    </row>
    <row r="589" spans="1:18" s="113" customFormat="1" ht="19.2" customHeight="1" x14ac:dyDescent="0.3">
      <c r="A589" s="83" t="str">
        <f>IF(TRIM(H589)&lt;&gt;"",COUNTA(H$9:$H589)&amp;"","")</f>
        <v/>
      </c>
      <c r="B589" s="112"/>
      <c r="C589" s="112"/>
      <c r="D589" s="85"/>
      <c r="E589" s="157" t="s">
        <v>281</v>
      </c>
      <c r="F589" s="87"/>
      <c r="H589" s="88"/>
      <c r="I589" s="89" t="str">
        <f t="shared" si="549"/>
        <v/>
      </c>
      <c r="J589" s="90" t="str">
        <f t="shared" si="550"/>
        <v/>
      </c>
      <c r="K589" s="91" t="str">
        <f t="shared" si="551"/>
        <v/>
      </c>
      <c r="L589" s="92" t="str">
        <f t="shared" si="552"/>
        <v/>
      </c>
      <c r="M589" s="93" t="str">
        <f t="shared" si="553"/>
        <v/>
      </c>
      <c r="N589" s="94" t="str">
        <f t="shared" si="554"/>
        <v/>
      </c>
      <c r="O589" s="94" t="str">
        <f t="shared" si="555"/>
        <v/>
      </c>
      <c r="P589" s="92" t="str">
        <f t="shared" si="556"/>
        <v/>
      </c>
      <c r="Q589" s="95" t="str">
        <f t="shared" si="557"/>
        <v/>
      </c>
      <c r="R589" s="96"/>
    </row>
    <row r="590" spans="1:18" x14ac:dyDescent="0.3">
      <c r="A590" s="83" t="str">
        <f>IF(TRIM(H590)&lt;&gt;"",COUNTA(H$9:$H590)&amp;"","")</f>
        <v>394</v>
      </c>
      <c r="B590" s="84" t="s">
        <v>275</v>
      </c>
      <c r="C590" s="84"/>
      <c r="D590" s="85"/>
      <c r="E590" s="97" t="s">
        <v>282</v>
      </c>
      <c r="F590" s="87">
        <v>14900</v>
      </c>
      <c r="H590" s="88" t="s">
        <v>147</v>
      </c>
      <c r="I590" s="89">
        <f t="shared" si="549"/>
        <v>0</v>
      </c>
      <c r="J590" s="90">
        <f t="shared" si="550"/>
        <v>14900</v>
      </c>
      <c r="K590" s="91">
        <f t="shared" si="551"/>
        <v>0</v>
      </c>
      <c r="L590" s="92">
        <f t="shared" si="552"/>
        <v>0</v>
      </c>
      <c r="M590" s="93">
        <f t="shared" si="553"/>
        <v>0</v>
      </c>
      <c r="N590" s="94">
        <f t="shared" si="554"/>
        <v>0</v>
      </c>
      <c r="O590" s="94">
        <f t="shared" si="555"/>
        <v>0</v>
      </c>
      <c r="P590" s="92">
        <f t="shared" si="556"/>
        <v>0</v>
      </c>
      <c r="Q590" s="95">
        <f t="shared" si="557"/>
        <v>0</v>
      </c>
      <c r="R590" s="116"/>
    </row>
    <row r="591" spans="1:18" ht="15" thickBot="1" x14ac:dyDescent="0.35">
      <c r="A591" s="83" t="str">
        <f>IF(TRIM(H591)&lt;&gt;"",COUNTA(H$9:$H591)&amp;"","")</f>
        <v/>
      </c>
      <c r="B591" s="98"/>
      <c r="C591" s="98"/>
      <c r="D591" s="85"/>
      <c r="E591" s="99"/>
      <c r="F591" s="87"/>
      <c r="H591" s="88"/>
      <c r="I591" s="89" t="str">
        <f t="shared" si="549"/>
        <v/>
      </c>
      <c r="J591" s="90" t="str">
        <f t="shared" si="550"/>
        <v/>
      </c>
      <c r="K591" s="91" t="str">
        <f t="shared" si="551"/>
        <v/>
      </c>
      <c r="L591" s="92" t="str">
        <f t="shared" si="552"/>
        <v/>
      </c>
      <c r="M591" s="93" t="str">
        <f t="shared" si="553"/>
        <v/>
      </c>
      <c r="N591" s="94" t="str">
        <f t="shared" si="554"/>
        <v/>
      </c>
      <c r="O591" s="94" t="str">
        <f t="shared" si="555"/>
        <v/>
      </c>
      <c r="P591" s="92" t="str">
        <f t="shared" si="556"/>
        <v/>
      </c>
      <c r="Q591" s="95" t="str">
        <f t="shared" si="557"/>
        <v/>
      </c>
      <c r="R591" s="116"/>
    </row>
    <row r="592" spans="1:18" s="111" customFormat="1" ht="16.2" thickBot="1" x14ac:dyDescent="0.35">
      <c r="A592" s="83" t="str">
        <f>IF(TRIM(H592)&lt;&gt;"",COUNTA(H$9:$H592)&amp;"","")</f>
        <v/>
      </c>
      <c r="B592" s="118"/>
      <c r="C592" s="118"/>
      <c r="D592" s="119"/>
      <c r="E592" s="102"/>
      <c r="F592" s="87"/>
      <c r="H592" s="120"/>
      <c r="I592" s="105" t="s">
        <v>12</v>
      </c>
      <c r="J592" s="106"/>
      <c r="K592" s="107">
        <f>SUM(L$578:L$591)</f>
        <v>0</v>
      </c>
      <c r="L592" s="211" t="s">
        <v>13</v>
      </c>
      <c r="M592" s="212"/>
      <c r="N592" s="108">
        <f>SUM(P$578:P$591)</f>
        <v>0</v>
      </c>
      <c r="O592" s="211" t="s">
        <v>42</v>
      </c>
      <c r="P592" s="212"/>
      <c r="Q592" s="109">
        <f>SUM(O$578:O$591)</f>
        <v>0</v>
      </c>
      <c r="R592" s="110">
        <f>SUM(Q$578:Q$591)</f>
        <v>0</v>
      </c>
    </row>
    <row r="593" spans="1:18" s="164" customFormat="1" ht="20.100000000000001" customHeight="1" x14ac:dyDescent="0.3">
      <c r="A593" s="160" t="str">
        <f>IF(TRIM(H593)&lt;&gt;"",COUNTA(H$9:$H593)&amp;"","")</f>
        <v/>
      </c>
      <c r="B593" s="161"/>
      <c r="C593" s="161"/>
      <c r="D593" s="162">
        <v>320000</v>
      </c>
      <c r="E593" s="162" t="s">
        <v>109</v>
      </c>
      <c r="F593" s="163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5"/>
    </row>
    <row r="594" spans="1:18" s="113" customFormat="1" ht="19.2" customHeight="1" x14ac:dyDescent="0.3">
      <c r="A594" s="83" t="str">
        <f>IF(TRIM(H594)&lt;&gt;"",COUNTA(H$9:$H594)&amp;"","")</f>
        <v/>
      </c>
      <c r="B594" s="112"/>
      <c r="C594" s="112"/>
      <c r="D594" s="85" t="s">
        <v>221</v>
      </c>
      <c r="E594" s="157" t="s">
        <v>220</v>
      </c>
      <c r="F594" s="87"/>
      <c r="H594" s="88"/>
      <c r="I594" s="89" t="str">
        <f>IF(F594=0,"",0)</f>
        <v/>
      </c>
      <c r="J594" s="90" t="str">
        <f t="shared" ref="J594" si="558">IF(F594=0,"",F594+(F594*I594))</f>
        <v/>
      </c>
      <c r="K594" s="91" t="str">
        <f>IF(F594=0,"",0)</f>
        <v/>
      </c>
      <c r="L594" s="92" t="str">
        <f>IF(F594=0,"",K594*J594)</f>
        <v/>
      </c>
      <c r="M594" s="93" t="str">
        <f>IF(F594=0,"",M$7)</f>
        <v/>
      </c>
      <c r="N594" s="94" t="str">
        <f>IF(F594=0,"",0)</f>
        <v/>
      </c>
      <c r="O594" s="94" t="str">
        <f>IF(F594=0,"",N594*J594)</f>
        <v/>
      </c>
      <c r="P594" s="92" t="str">
        <f>IF(F594=0,"",O594*M594)</f>
        <v/>
      </c>
      <c r="Q594" s="95" t="str">
        <f>IF(F594=0,"",L594+P594)</f>
        <v/>
      </c>
      <c r="R594" s="96"/>
    </row>
    <row r="595" spans="1:18" ht="82.8" x14ac:dyDescent="0.3">
      <c r="A595" s="83" t="str">
        <f>IF(TRIM(H595)&lt;&gt;"",COUNTA(H$9:$H595)&amp;"","")</f>
        <v>395</v>
      </c>
      <c r="B595" s="84" t="s">
        <v>241</v>
      </c>
      <c r="C595" s="84" t="s">
        <v>243</v>
      </c>
      <c r="D595" s="85"/>
      <c r="E595" s="86" t="s">
        <v>247</v>
      </c>
      <c r="F595" s="87">
        <v>23160</v>
      </c>
      <c r="H595" s="88" t="s">
        <v>147</v>
      </c>
      <c r="I595" s="89">
        <f>IF(F595=0,"",0)</f>
        <v>0</v>
      </c>
      <c r="J595" s="90">
        <f>IF(F595=0,"",F595+(F595*I595))</f>
        <v>23160</v>
      </c>
      <c r="K595" s="91">
        <f>IF(F595=0,"",0)</f>
        <v>0</v>
      </c>
      <c r="L595" s="92">
        <f>IF(F595=0,"",K595*J595)</f>
        <v>0</v>
      </c>
      <c r="M595" s="93">
        <f>IF(F595=0,"",M$7)</f>
        <v>0</v>
      </c>
      <c r="N595" s="94">
        <f>IF(F595=0,"",0)</f>
        <v>0</v>
      </c>
      <c r="O595" s="94">
        <f>IF(F595=0,"",N595*J595)</f>
        <v>0</v>
      </c>
      <c r="P595" s="92">
        <f>IF(F595=0,"",O595*M595)</f>
        <v>0</v>
      </c>
      <c r="Q595" s="95">
        <f>IF(F595=0,"",L595+P595)</f>
        <v>0</v>
      </c>
      <c r="R595" s="116"/>
    </row>
    <row r="596" spans="1:18" ht="82.8" x14ac:dyDescent="0.3">
      <c r="A596" s="83" t="str">
        <f>IF(TRIM(H596)&lt;&gt;"",COUNTA(H$9:$H596)&amp;"","")</f>
        <v>396</v>
      </c>
      <c r="B596" s="84" t="s">
        <v>241</v>
      </c>
      <c r="C596" s="84" t="s">
        <v>242</v>
      </c>
      <c r="D596" s="85"/>
      <c r="E596" s="86" t="s">
        <v>246</v>
      </c>
      <c r="F596" s="87">
        <v>39680</v>
      </c>
      <c r="H596" s="88" t="s">
        <v>147</v>
      </c>
      <c r="I596" s="89">
        <f t="shared" ref="I596:I615" si="559">IF(F596=0,"",0)</f>
        <v>0</v>
      </c>
      <c r="J596" s="90">
        <f t="shared" ref="J596:J615" si="560">IF(F596=0,"",F596+(F596*I596))</f>
        <v>39680</v>
      </c>
      <c r="K596" s="91">
        <f t="shared" ref="K596:K615" si="561">IF(F596=0,"",0)</f>
        <v>0</v>
      </c>
      <c r="L596" s="92">
        <f t="shared" ref="L596:L615" si="562">IF(F596=0,"",K596*J596)</f>
        <v>0</v>
      </c>
      <c r="M596" s="93">
        <f t="shared" ref="M596:M615" si="563">IF(F596=0,"",M$7)</f>
        <v>0</v>
      </c>
      <c r="N596" s="94">
        <f t="shared" ref="N596:N615" si="564">IF(F596=0,"",0)</f>
        <v>0</v>
      </c>
      <c r="O596" s="94">
        <f t="shared" ref="O596:O615" si="565">IF(F596=0,"",N596*J596)</f>
        <v>0</v>
      </c>
      <c r="P596" s="92">
        <f t="shared" ref="P596:P615" si="566">IF(F596=0,"",O596*M596)</f>
        <v>0</v>
      </c>
      <c r="Q596" s="95">
        <f t="shared" ref="Q596:Q615" si="567">IF(F596=0,"",L596+P596)</f>
        <v>0</v>
      </c>
      <c r="R596" s="116"/>
    </row>
    <row r="597" spans="1:18" ht="55.2" x14ac:dyDescent="0.3">
      <c r="A597" s="83" t="str">
        <f>IF(TRIM(H597)&lt;&gt;"",COUNTA(H$9:$H597)&amp;"","")</f>
        <v>397</v>
      </c>
      <c r="B597" s="84" t="s">
        <v>241</v>
      </c>
      <c r="C597" s="84" t="s">
        <v>244</v>
      </c>
      <c r="D597" s="85"/>
      <c r="E597" s="86" t="s">
        <v>245</v>
      </c>
      <c r="F597" s="87">
        <v>5270</v>
      </c>
      <c r="H597" s="88" t="s">
        <v>147</v>
      </c>
      <c r="I597" s="89">
        <f t="shared" si="559"/>
        <v>0</v>
      </c>
      <c r="J597" s="90">
        <f t="shared" si="560"/>
        <v>5270</v>
      </c>
      <c r="K597" s="91">
        <f t="shared" si="561"/>
        <v>0</v>
      </c>
      <c r="L597" s="92">
        <f t="shared" si="562"/>
        <v>0</v>
      </c>
      <c r="M597" s="93">
        <f t="shared" si="563"/>
        <v>0</v>
      </c>
      <c r="N597" s="94">
        <f t="shared" si="564"/>
        <v>0</v>
      </c>
      <c r="O597" s="94">
        <f t="shared" si="565"/>
        <v>0</v>
      </c>
      <c r="P597" s="92">
        <f t="shared" si="566"/>
        <v>0</v>
      </c>
      <c r="Q597" s="95">
        <f t="shared" si="567"/>
        <v>0</v>
      </c>
      <c r="R597" s="116"/>
    </row>
    <row r="598" spans="1:18" ht="55.2" x14ac:dyDescent="0.3">
      <c r="A598" s="83" t="str">
        <f>IF(TRIM(H598)&lt;&gt;"",COUNTA(H$9:$H598)&amp;"","")</f>
        <v>398</v>
      </c>
      <c r="B598" s="84" t="s">
        <v>248</v>
      </c>
      <c r="C598" s="84" t="s">
        <v>249</v>
      </c>
      <c r="D598" s="85"/>
      <c r="E598" s="86" t="s">
        <v>250</v>
      </c>
      <c r="F598" s="87">
        <v>20710</v>
      </c>
      <c r="H598" s="88" t="s">
        <v>147</v>
      </c>
      <c r="I598" s="89">
        <f t="shared" si="559"/>
        <v>0</v>
      </c>
      <c r="J598" s="90">
        <f t="shared" si="560"/>
        <v>20710</v>
      </c>
      <c r="K598" s="91">
        <f t="shared" si="561"/>
        <v>0</v>
      </c>
      <c r="L598" s="92">
        <f t="shared" si="562"/>
        <v>0</v>
      </c>
      <c r="M598" s="93">
        <f t="shared" si="563"/>
        <v>0</v>
      </c>
      <c r="N598" s="94">
        <f t="shared" si="564"/>
        <v>0</v>
      </c>
      <c r="O598" s="94">
        <f t="shared" si="565"/>
        <v>0</v>
      </c>
      <c r="P598" s="92">
        <f t="shared" si="566"/>
        <v>0</v>
      </c>
      <c r="Q598" s="95">
        <f t="shared" si="567"/>
        <v>0</v>
      </c>
      <c r="R598" s="116"/>
    </row>
    <row r="599" spans="1:18" s="113" customFormat="1" ht="19.2" customHeight="1" x14ac:dyDescent="0.3">
      <c r="A599" s="83" t="str">
        <f>IF(TRIM(H599)&lt;&gt;"",COUNTA(H$9:$H599)&amp;"","")</f>
        <v/>
      </c>
      <c r="B599" s="112"/>
      <c r="C599" s="112"/>
      <c r="D599" s="85" t="s">
        <v>223</v>
      </c>
      <c r="E599" s="157" t="s">
        <v>222</v>
      </c>
      <c r="F599" s="87"/>
      <c r="H599" s="88"/>
      <c r="I599" s="89" t="str">
        <f t="shared" si="559"/>
        <v/>
      </c>
      <c r="J599" s="90" t="str">
        <f t="shared" si="560"/>
        <v/>
      </c>
      <c r="K599" s="91" t="str">
        <f t="shared" si="561"/>
        <v/>
      </c>
      <c r="L599" s="92" t="str">
        <f t="shared" si="562"/>
        <v/>
      </c>
      <c r="M599" s="93" t="str">
        <f t="shared" si="563"/>
        <v/>
      </c>
      <c r="N599" s="94" t="str">
        <f t="shared" si="564"/>
        <v/>
      </c>
      <c r="O599" s="94" t="str">
        <f t="shared" si="565"/>
        <v/>
      </c>
      <c r="P599" s="92" t="str">
        <f t="shared" si="566"/>
        <v/>
      </c>
      <c r="Q599" s="95" t="str">
        <f t="shared" si="567"/>
        <v/>
      </c>
      <c r="R599" s="96"/>
    </row>
    <row r="600" spans="1:18" ht="41.4" x14ac:dyDescent="0.3">
      <c r="A600" s="83" t="str">
        <f>IF(TRIM(H600)&lt;&gt;"",COUNTA(H$9:$H600)&amp;"","")</f>
        <v>399</v>
      </c>
      <c r="B600" s="84" t="s">
        <v>241</v>
      </c>
      <c r="C600" s="84" t="s">
        <v>256</v>
      </c>
      <c r="D600" s="85"/>
      <c r="E600" s="97" t="s">
        <v>257</v>
      </c>
      <c r="F600" s="87">
        <v>2150</v>
      </c>
      <c r="H600" s="88" t="s">
        <v>147</v>
      </c>
      <c r="I600" s="89">
        <f t="shared" ref="I600" si="568">IF(F600=0,"",0)</f>
        <v>0</v>
      </c>
      <c r="J600" s="90">
        <f t="shared" ref="J600" si="569">IF(F600=0,"",F600+(F600*I600))</f>
        <v>2150</v>
      </c>
      <c r="K600" s="91">
        <f t="shared" ref="K600" si="570">IF(F600=0,"",0)</f>
        <v>0</v>
      </c>
      <c r="L600" s="92">
        <f t="shared" ref="L600" si="571">IF(F600=0,"",K600*J600)</f>
        <v>0</v>
      </c>
      <c r="M600" s="93">
        <f t="shared" ref="M600" si="572">IF(F600=0,"",M$7)</f>
        <v>0</v>
      </c>
      <c r="N600" s="94">
        <f t="shared" ref="N600" si="573">IF(F600=0,"",0)</f>
        <v>0</v>
      </c>
      <c r="O600" s="94">
        <f t="shared" ref="O600" si="574">IF(F600=0,"",N600*J600)</f>
        <v>0</v>
      </c>
      <c r="P600" s="92">
        <f t="shared" ref="P600" si="575">IF(F600=0,"",O600*M600)</f>
        <v>0</v>
      </c>
      <c r="Q600" s="95">
        <f t="shared" ref="Q600" si="576">IF(F600=0,"",L600+P600)</f>
        <v>0</v>
      </c>
      <c r="R600" s="116"/>
    </row>
    <row r="601" spans="1:18" x14ac:dyDescent="0.3">
      <c r="A601" s="83" t="str">
        <f>IF(TRIM(H601)&lt;&gt;"",COUNTA(H$9:$H601)&amp;"","")</f>
        <v>400</v>
      </c>
      <c r="B601" s="84" t="s">
        <v>241</v>
      </c>
      <c r="C601" s="84" t="s">
        <v>240</v>
      </c>
      <c r="D601" s="85"/>
      <c r="E601" s="97" t="s">
        <v>239</v>
      </c>
      <c r="F601" s="87">
        <v>57.5</v>
      </c>
      <c r="G601" s="64">
        <f>0.75*1.5*1375/27</f>
        <v>57.291666666666664</v>
      </c>
      <c r="H601" s="88" t="s">
        <v>176</v>
      </c>
      <c r="I601" s="89">
        <f t="shared" si="559"/>
        <v>0</v>
      </c>
      <c r="J601" s="90">
        <f t="shared" si="560"/>
        <v>57.5</v>
      </c>
      <c r="K601" s="91">
        <f t="shared" si="561"/>
        <v>0</v>
      </c>
      <c r="L601" s="92">
        <f t="shared" si="562"/>
        <v>0</v>
      </c>
      <c r="M601" s="93">
        <f t="shared" si="563"/>
        <v>0</v>
      </c>
      <c r="N601" s="94">
        <f t="shared" si="564"/>
        <v>0</v>
      </c>
      <c r="O601" s="94">
        <f t="shared" si="565"/>
        <v>0</v>
      </c>
      <c r="P601" s="92">
        <f t="shared" si="566"/>
        <v>0</v>
      </c>
      <c r="Q601" s="95">
        <f t="shared" si="567"/>
        <v>0</v>
      </c>
      <c r="R601" s="116"/>
    </row>
    <row r="602" spans="1:18" x14ac:dyDescent="0.3">
      <c r="A602" s="83" t="str">
        <f>IF(TRIM(H602)&lt;&gt;"",COUNTA(H$9:$H602)&amp;"","")</f>
        <v>401</v>
      </c>
      <c r="B602" s="84" t="s">
        <v>241</v>
      </c>
      <c r="C602" s="84" t="s">
        <v>251</v>
      </c>
      <c r="D602" s="85"/>
      <c r="E602" s="97" t="s">
        <v>252</v>
      </c>
      <c r="F602" s="87">
        <v>13</v>
      </c>
      <c r="G602" s="64">
        <f>290*0.5/27+0.83*3*81/27</f>
        <v>12.840370370370369</v>
      </c>
      <c r="H602" s="88" t="s">
        <v>176</v>
      </c>
      <c r="I602" s="89">
        <f t="shared" si="559"/>
        <v>0</v>
      </c>
      <c r="J602" s="90">
        <f t="shared" si="560"/>
        <v>13</v>
      </c>
      <c r="K602" s="91">
        <f t="shared" si="561"/>
        <v>0</v>
      </c>
      <c r="L602" s="92">
        <f t="shared" si="562"/>
        <v>0</v>
      </c>
      <c r="M602" s="93">
        <f t="shared" si="563"/>
        <v>0</v>
      </c>
      <c r="N602" s="94">
        <f t="shared" si="564"/>
        <v>0</v>
      </c>
      <c r="O602" s="94">
        <f t="shared" si="565"/>
        <v>0</v>
      </c>
      <c r="P602" s="92">
        <f t="shared" si="566"/>
        <v>0</v>
      </c>
      <c r="Q602" s="95">
        <f t="shared" si="567"/>
        <v>0</v>
      </c>
      <c r="R602" s="116"/>
    </row>
    <row r="603" spans="1:18" x14ac:dyDescent="0.3">
      <c r="A603" s="83" t="str">
        <f>IF(TRIM(H603)&lt;&gt;"",COUNTA(H$9:$H603)&amp;"","")</f>
        <v>402</v>
      </c>
      <c r="B603" s="84" t="s">
        <v>248</v>
      </c>
      <c r="C603" s="84" t="s">
        <v>258</v>
      </c>
      <c r="D603" s="85"/>
      <c r="E603" s="97" t="s">
        <v>259</v>
      </c>
      <c r="F603" s="87">
        <v>2</v>
      </c>
      <c r="G603" s="64">
        <f>20/27+18*0.83*2.167/27</f>
        <v>1.9398140740740737</v>
      </c>
      <c r="H603" s="88" t="s">
        <v>176</v>
      </c>
      <c r="I603" s="89">
        <f t="shared" si="559"/>
        <v>0</v>
      </c>
      <c r="J603" s="90">
        <f t="shared" si="560"/>
        <v>2</v>
      </c>
      <c r="K603" s="91">
        <f t="shared" si="561"/>
        <v>0</v>
      </c>
      <c r="L603" s="92">
        <f t="shared" si="562"/>
        <v>0</v>
      </c>
      <c r="M603" s="93">
        <f t="shared" si="563"/>
        <v>0</v>
      </c>
      <c r="N603" s="94">
        <f t="shared" si="564"/>
        <v>0</v>
      </c>
      <c r="O603" s="94">
        <f t="shared" si="565"/>
        <v>0</v>
      </c>
      <c r="P603" s="92">
        <f t="shared" si="566"/>
        <v>0</v>
      </c>
      <c r="Q603" s="95">
        <f t="shared" si="567"/>
        <v>0</v>
      </c>
      <c r="R603" s="116"/>
    </row>
    <row r="604" spans="1:18" x14ac:dyDescent="0.3">
      <c r="A604" s="83" t="str">
        <f>IF(TRIM(H604)&lt;&gt;"",COUNTA(H$9:$H604)&amp;"","")</f>
        <v>403</v>
      </c>
      <c r="B604" s="84" t="s">
        <v>248</v>
      </c>
      <c r="C604" s="84" t="s">
        <v>258</v>
      </c>
      <c r="D604" s="85"/>
      <c r="E604" s="97" t="s">
        <v>260</v>
      </c>
      <c r="F604" s="87">
        <v>10</v>
      </c>
      <c r="H604" s="88" t="s">
        <v>175</v>
      </c>
      <c r="I604" s="89">
        <f t="shared" ref="I604" si="577">IF(F604=0,"",0)</f>
        <v>0</v>
      </c>
      <c r="J604" s="90">
        <f t="shared" ref="J604" si="578">IF(F604=0,"",F604+(F604*I604))</f>
        <v>10</v>
      </c>
      <c r="K604" s="91">
        <f t="shared" ref="K604" si="579">IF(F604=0,"",0)</f>
        <v>0</v>
      </c>
      <c r="L604" s="92">
        <f t="shared" ref="L604" si="580">IF(F604=0,"",K604*J604)</f>
        <v>0</v>
      </c>
      <c r="M604" s="93">
        <f t="shared" ref="M604" si="581">IF(F604=0,"",M$7)</f>
        <v>0</v>
      </c>
      <c r="N604" s="94">
        <f t="shared" ref="N604" si="582">IF(F604=0,"",0)</f>
        <v>0</v>
      </c>
      <c r="O604" s="94">
        <f t="shared" ref="O604" si="583">IF(F604=0,"",N604*J604)</f>
        <v>0</v>
      </c>
      <c r="P604" s="92">
        <f t="shared" ref="P604" si="584">IF(F604=0,"",O604*M604)</f>
        <v>0</v>
      </c>
      <c r="Q604" s="95">
        <f t="shared" ref="Q604" si="585">IF(F604=0,"",L604+P604)</f>
        <v>0</v>
      </c>
      <c r="R604" s="116"/>
    </row>
    <row r="605" spans="1:18" s="113" customFormat="1" ht="19.2" customHeight="1" x14ac:dyDescent="0.3">
      <c r="A605" s="83" t="str">
        <f>IF(TRIM(H605)&lt;&gt;"",COUNTA(H$9:$H605)&amp;"","")</f>
        <v/>
      </c>
      <c r="B605" s="112"/>
      <c r="C605" s="112"/>
      <c r="D605" s="85" t="s">
        <v>225</v>
      </c>
      <c r="E605" s="157" t="s">
        <v>224</v>
      </c>
      <c r="F605" s="87"/>
      <c r="H605" s="88"/>
      <c r="I605" s="89" t="str">
        <f t="shared" si="559"/>
        <v/>
      </c>
      <c r="J605" s="90" t="str">
        <f t="shared" si="560"/>
        <v/>
      </c>
      <c r="K605" s="91" t="str">
        <f t="shared" si="561"/>
        <v/>
      </c>
      <c r="L605" s="92" t="str">
        <f t="shared" si="562"/>
        <v/>
      </c>
      <c r="M605" s="93" t="str">
        <f t="shared" si="563"/>
        <v/>
      </c>
      <c r="N605" s="94" t="str">
        <f t="shared" si="564"/>
        <v/>
      </c>
      <c r="O605" s="94" t="str">
        <f t="shared" si="565"/>
        <v/>
      </c>
      <c r="P605" s="92" t="str">
        <f t="shared" si="566"/>
        <v/>
      </c>
      <c r="Q605" s="95" t="str">
        <f t="shared" si="567"/>
        <v/>
      </c>
      <c r="R605" s="96"/>
    </row>
    <row r="606" spans="1:18" x14ac:dyDescent="0.3">
      <c r="A606" s="83" t="str">
        <f>IF(TRIM(H606)&lt;&gt;"",COUNTA(H$9:$H606)&amp;"","")</f>
        <v>404</v>
      </c>
      <c r="B606" s="84" t="s">
        <v>275</v>
      </c>
      <c r="C606" s="84"/>
      <c r="D606" s="85"/>
      <c r="E606" s="97" t="s">
        <v>764</v>
      </c>
      <c r="F606" s="87">
        <v>14900</v>
      </c>
      <c r="H606" s="88" t="s">
        <v>147</v>
      </c>
      <c r="I606" s="89">
        <f t="shared" si="559"/>
        <v>0</v>
      </c>
      <c r="J606" s="90">
        <f t="shared" si="560"/>
        <v>14900</v>
      </c>
      <c r="K606" s="91">
        <f t="shared" si="561"/>
        <v>0</v>
      </c>
      <c r="L606" s="92">
        <f t="shared" si="562"/>
        <v>0</v>
      </c>
      <c r="M606" s="93">
        <f t="shared" si="563"/>
        <v>0</v>
      </c>
      <c r="N606" s="94">
        <f t="shared" si="564"/>
        <v>0</v>
      </c>
      <c r="O606" s="94">
        <f t="shared" si="565"/>
        <v>0</v>
      </c>
      <c r="P606" s="92">
        <f t="shared" si="566"/>
        <v>0</v>
      </c>
      <c r="Q606" s="95">
        <f t="shared" si="567"/>
        <v>0</v>
      </c>
      <c r="R606" s="116"/>
    </row>
    <row r="607" spans="1:18" s="113" customFormat="1" ht="19.2" customHeight="1" x14ac:dyDescent="0.3">
      <c r="A607" s="83" t="str">
        <f>IF(TRIM(H607)&lt;&gt;"",COUNTA(H$9:$H607)&amp;"","")</f>
        <v/>
      </c>
      <c r="B607" s="112"/>
      <c r="C607" s="112"/>
      <c r="D607" s="85"/>
      <c r="E607" s="157" t="s">
        <v>110</v>
      </c>
      <c r="F607" s="87"/>
      <c r="H607" s="88"/>
      <c r="I607" s="89" t="str">
        <f t="shared" si="559"/>
        <v/>
      </c>
      <c r="J607" s="90" t="str">
        <f t="shared" si="560"/>
        <v/>
      </c>
      <c r="K607" s="91" t="str">
        <f t="shared" si="561"/>
        <v/>
      </c>
      <c r="L607" s="92" t="str">
        <f t="shared" si="562"/>
        <v/>
      </c>
      <c r="M607" s="93" t="str">
        <f t="shared" si="563"/>
        <v/>
      </c>
      <c r="N607" s="94" t="str">
        <f t="shared" si="564"/>
        <v/>
      </c>
      <c r="O607" s="94" t="str">
        <f t="shared" si="565"/>
        <v/>
      </c>
      <c r="P607" s="92" t="str">
        <f t="shared" si="566"/>
        <v/>
      </c>
      <c r="Q607" s="95" t="str">
        <f t="shared" si="567"/>
        <v/>
      </c>
      <c r="R607" s="96"/>
    </row>
    <row r="608" spans="1:18" x14ac:dyDescent="0.3">
      <c r="A608" s="83" t="str">
        <f>IF(TRIM(H608)&lt;&gt;"",COUNTA(H$9:$H608)&amp;"","")</f>
        <v>405</v>
      </c>
      <c r="B608" s="84" t="s">
        <v>241</v>
      </c>
      <c r="C608" s="84" t="s">
        <v>261</v>
      </c>
      <c r="D608" s="85"/>
      <c r="E608" s="97" t="s">
        <v>262</v>
      </c>
      <c r="F608" s="87">
        <v>5035</v>
      </c>
      <c r="G608" s="64">
        <f>3450+18*88</f>
        <v>5034</v>
      </c>
      <c r="H608" s="88" t="s">
        <v>175</v>
      </c>
      <c r="I608" s="89">
        <f t="shared" si="559"/>
        <v>0</v>
      </c>
      <c r="J608" s="90">
        <f t="shared" si="560"/>
        <v>5035</v>
      </c>
      <c r="K608" s="91">
        <f t="shared" si="561"/>
        <v>0</v>
      </c>
      <c r="L608" s="92">
        <f t="shared" si="562"/>
        <v>0</v>
      </c>
      <c r="M608" s="93">
        <f t="shared" si="563"/>
        <v>0</v>
      </c>
      <c r="N608" s="94">
        <f t="shared" si="564"/>
        <v>0</v>
      </c>
      <c r="O608" s="94">
        <f t="shared" si="565"/>
        <v>0</v>
      </c>
      <c r="P608" s="92">
        <f t="shared" si="566"/>
        <v>0</v>
      </c>
      <c r="Q608" s="95">
        <f t="shared" si="567"/>
        <v>0</v>
      </c>
      <c r="R608" s="116"/>
    </row>
    <row r="609" spans="1:18" x14ac:dyDescent="0.3">
      <c r="A609" s="83" t="str">
        <f>IF(TRIM(H609)&lt;&gt;"",COUNTA(H$9:$H609)&amp;"","")</f>
        <v>406</v>
      </c>
      <c r="B609" s="84" t="s">
        <v>241</v>
      </c>
      <c r="C609" s="84" t="s">
        <v>261</v>
      </c>
      <c r="D609" s="85"/>
      <c r="E609" s="97" t="s">
        <v>263</v>
      </c>
      <c r="F609" s="87">
        <v>5</v>
      </c>
      <c r="H609" s="88" t="s">
        <v>232</v>
      </c>
      <c r="I609" s="89">
        <f t="shared" si="559"/>
        <v>0</v>
      </c>
      <c r="J609" s="90">
        <f t="shared" si="560"/>
        <v>5</v>
      </c>
      <c r="K609" s="91">
        <f t="shared" si="561"/>
        <v>0</v>
      </c>
      <c r="L609" s="92">
        <f t="shared" si="562"/>
        <v>0</v>
      </c>
      <c r="M609" s="93">
        <f t="shared" si="563"/>
        <v>0</v>
      </c>
      <c r="N609" s="94">
        <f t="shared" si="564"/>
        <v>0</v>
      </c>
      <c r="O609" s="94">
        <f t="shared" si="565"/>
        <v>0</v>
      </c>
      <c r="P609" s="92">
        <f t="shared" si="566"/>
        <v>0</v>
      </c>
      <c r="Q609" s="95">
        <f t="shared" si="567"/>
        <v>0</v>
      </c>
      <c r="R609" s="116"/>
    </row>
    <row r="610" spans="1:18" x14ac:dyDescent="0.3">
      <c r="A610" s="83" t="str">
        <f>IF(TRIM(H610)&lt;&gt;"",COUNTA(H$9:$H610)&amp;"","")</f>
        <v>407</v>
      </c>
      <c r="B610" s="84" t="s">
        <v>266</v>
      </c>
      <c r="C610" s="84" t="s">
        <v>261</v>
      </c>
      <c r="D610" s="85"/>
      <c r="E610" s="97" t="s">
        <v>272</v>
      </c>
      <c r="F610" s="87">
        <v>8</v>
      </c>
      <c r="H610" s="88" t="s">
        <v>232</v>
      </c>
      <c r="I610" s="89">
        <f t="shared" ref="I610" si="586">IF(F610=0,"",0)</f>
        <v>0</v>
      </c>
      <c r="J610" s="90">
        <f t="shared" ref="J610" si="587">IF(F610=0,"",F610+(F610*I610))</f>
        <v>8</v>
      </c>
      <c r="K610" s="91">
        <f t="shared" ref="K610" si="588">IF(F610=0,"",0)</f>
        <v>0</v>
      </c>
      <c r="L610" s="92">
        <f t="shared" ref="L610" si="589">IF(F610=0,"",K610*J610)</f>
        <v>0</v>
      </c>
      <c r="M610" s="93">
        <f t="shared" ref="M610" si="590">IF(F610=0,"",M$7)</f>
        <v>0</v>
      </c>
      <c r="N610" s="94">
        <f t="shared" ref="N610" si="591">IF(F610=0,"",0)</f>
        <v>0</v>
      </c>
      <c r="O610" s="94">
        <f t="shared" ref="O610" si="592">IF(F610=0,"",N610*J610)</f>
        <v>0</v>
      </c>
      <c r="P610" s="92">
        <f t="shared" ref="P610" si="593">IF(F610=0,"",O610*M610)</f>
        <v>0</v>
      </c>
      <c r="Q610" s="95">
        <f t="shared" ref="Q610" si="594">IF(F610=0,"",L610+P610)</f>
        <v>0</v>
      </c>
      <c r="R610" s="116"/>
    </row>
    <row r="611" spans="1:18" x14ac:dyDescent="0.3">
      <c r="A611" s="83" t="str">
        <f>IF(TRIM(H611)&lt;&gt;"",COUNTA(H$9:$H611)&amp;"","")</f>
        <v>408</v>
      </c>
      <c r="B611" s="84" t="s">
        <v>248</v>
      </c>
      <c r="C611" s="84" t="s">
        <v>265</v>
      </c>
      <c r="D611" s="85"/>
      <c r="E611" s="97" t="s">
        <v>264</v>
      </c>
      <c r="F611" s="87">
        <v>5</v>
      </c>
      <c r="H611" s="88" t="s">
        <v>232</v>
      </c>
      <c r="I611" s="89">
        <f t="shared" si="559"/>
        <v>0</v>
      </c>
      <c r="J611" s="90">
        <f t="shared" si="560"/>
        <v>5</v>
      </c>
      <c r="K611" s="91">
        <f t="shared" si="561"/>
        <v>0</v>
      </c>
      <c r="L611" s="92">
        <f t="shared" si="562"/>
        <v>0</v>
      </c>
      <c r="M611" s="93">
        <f t="shared" si="563"/>
        <v>0</v>
      </c>
      <c r="N611" s="94">
        <f t="shared" si="564"/>
        <v>0</v>
      </c>
      <c r="O611" s="94">
        <f t="shared" si="565"/>
        <v>0</v>
      </c>
      <c r="P611" s="92">
        <f t="shared" si="566"/>
        <v>0</v>
      </c>
      <c r="Q611" s="95">
        <f t="shared" si="567"/>
        <v>0</v>
      </c>
      <c r="R611" s="116"/>
    </row>
    <row r="612" spans="1:18" x14ac:dyDescent="0.3">
      <c r="A612" s="83" t="str">
        <f>IF(TRIM(H612)&lt;&gt;"",COUNTA(H$9:$H612)&amp;"","")</f>
        <v>409</v>
      </c>
      <c r="B612" s="84" t="s">
        <v>266</v>
      </c>
      <c r="C612" s="84" t="s">
        <v>265</v>
      </c>
      <c r="D612" s="85"/>
      <c r="E612" s="97" t="s">
        <v>271</v>
      </c>
      <c r="F612" s="87">
        <v>5</v>
      </c>
      <c r="H612" s="88" t="s">
        <v>232</v>
      </c>
      <c r="I612" s="89">
        <f t="shared" ref="I612" si="595">IF(F612=0,"",0)</f>
        <v>0</v>
      </c>
      <c r="J612" s="90">
        <f t="shared" ref="J612" si="596">IF(F612=0,"",F612+(F612*I612))</f>
        <v>5</v>
      </c>
      <c r="K612" s="91">
        <f t="shared" ref="K612" si="597">IF(F612=0,"",0)</f>
        <v>0</v>
      </c>
      <c r="L612" s="92">
        <f t="shared" ref="L612" si="598">IF(F612=0,"",K612*J612)</f>
        <v>0</v>
      </c>
      <c r="M612" s="93">
        <f t="shared" ref="M612" si="599">IF(F612=0,"",M$7)</f>
        <v>0</v>
      </c>
      <c r="N612" s="94">
        <f t="shared" ref="N612" si="600">IF(F612=0,"",0)</f>
        <v>0</v>
      </c>
      <c r="O612" s="94">
        <f t="shared" ref="O612" si="601">IF(F612=0,"",N612*J612)</f>
        <v>0</v>
      </c>
      <c r="P612" s="92">
        <f t="shared" ref="P612" si="602">IF(F612=0,"",O612*M612)</f>
        <v>0</v>
      </c>
      <c r="Q612" s="95">
        <f t="shared" ref="Q612" si="603">IF(F612=0,"",L612+P612)</f>
        <v>0</v>
      </c>
      <c r="R612" s="116"/>
    </row>
    <row r="613" spans="1:18" s="113" customFormat="1" ht="19.2" customHeight="1" x14ac:dyDescent="0.3">
      <c r="A613" s="83" t="str">
        <f>IF(TRIM(H613)&lt;&gt;"",COUNTA(H$9:$H613)&amp;"","")</f>
        <v/>
      </c>
      <c r="B613" s="112"/>
      <c r="C613" s="112"/>
      <c r="D613" s="85"/>
      <c r="E613" s="157" t="s">
        <v>106</v>
      </c>
      <c r="F613" s="87"/>
      <c r="H613" s="88"/>
      <c r="I613" s="89" t="str">
        <f t="shared" si="559"/>
        <v/>
      </c>
      <c r="J613" s="90" t="str">
        <f t="shared" si="560"/>
        <v/>
      </c>
      <c r="K613" s="91" t="str">
        <f t="shared" si="561"/>
        <v/>
      </c>
      <c r="L613" s="92" t="str">
        <f t="shared" si="562"/>
        <v/>
      </c>
      <c r="M613" s="93" t="str">
        <f t="shared" si="563"/>
        <v/>
      </c>
      <c r="N613" s="94" t="str">
        <f t="shared" si="564"/>
        <v/>
      </c>
      <c r="O613" s="94" t="str">
        <f t="shared" si="565"/>
        <v/>
      </c>
      <c r="P613" s="92" t="str">
        <f t="shared" si="566"/>
        <v/>
      </c>
      <c r="Q613" s="95" t="str">
        <f t="shared" si="567"/>
        <v/>
      </c>
      <c r="R613" s="96"/>
    </row>
    <row r="614" spans="1:18" x14ac:dyDescent="0.3">
      <c r="A614" s="83" t="str">
        <f>IF(TRIM(H614)&lt;&gt;"",COUNTA(H$9:$H614)&amp;"","")</f>
        <v>410</v>
      </c>
      <c r="B614" s="84" t="s">
        <v>266</v>
      </c>
      <c r="C614" s="84" t="s">
        <v>267</v>
      </c>
      <c r="D614" s="85"/>
      <c r="E614" s="97" t="s">
        <v>270</v>
      </c>
      <c r="F614" s="87">
        <v>5</v>
      </c>
      <c r="H614" s="88" t="s">
        <v>232</v>
      </c>
      <c r="I614" s="89">
        <f t="shared" si="559"/>
        <v>0</v>
      </c>
      <c r="J614" s="90">
        <f t="shared" si="560"/>
        <v>5</v>
      </c>
      <c r="K614" s="91">
        <f t="shared" si="561"/>
        <v>0</v>
      </c>
      <c r="L614" s="92">
        <f t="shared" si="562"/>
        <v>0</v>
      </c>
      <c r="M614" s="93">
        <f t="shared" si="563"/>
        <v>0</v>
      </c>
      <c r="N614" s="94">
        <f t="shared" si="564"/>
        <v>0</v>
      </c>
      <c r="O614" s="94">
        <f t="shared" si="565"/>
        <v>0</v>
      </c>
      <c r="P614" s="92">
        <f t="shared" si="566"/>
        <v>0</v>
      </c>
      <c r="Q614" s="95">
        <f t="shared" si="567"/>
        <v>0</v>
      </c>
      <c r="R614" s="116"/>
    </row>
    <row r="615" spans="1:18" x14ac:dyDescent="0.3">
      <c r="A615" s="83" t="str">
        <f>IF(TRIM(H615)&lt;&gt;"",COUNTA(H$9:$H615)&amp;"","")</f>
        <v>411</v>
      </c>
      <c r="B615" s="84" t="s">
        <v>266</v>
      </c>
      <c r="C615" s="84" t="s">
        <v>267</v>
      </c>
      <c r="D615" s="85"/>
      <c r="E615" s="97" t="s">
        <v>269</v>
      </c>
      <c r="F615" s="87">
        <v>1</v>
      </c>
      <c r="G615" s="64">
        <f>5.3*5/27</f>
        <v>0.98148148148148151</v>
      </c>
      <c r="H615" s="88" t="s">
        <v>176</v>
      </c>
      <c r="I615" s="89">
        <f t="shared" si="559"/>
        <v>0</v>
      </c>
      <c r="J615" s="90">
        <f t="shared" si="560"/>
        <v>1</v>
      </c>
      <c r="K615" s="91">
        <f t="shared" si="561"/>
        <v>0</v>
      </c>
      <c r="L615" s="92">
        <f t="shared" si="562"/>
        <v>0</v>
      </c>
      <c r="M615" s="93">
        <f t="shared" si="563"/>
        <v>0</v>
      </c>
      <c r="N615" s="94">
        <f t="shared" si="564"/>
        <v>0</v>
      </c>
      <c r="O615" s="94">
        <f t="shared" si="565"/>
        <v>0</v>
      </c>
      <c r="P615" s="92">
        <f t="shared" si="566"/>
        <v>0</v>
      </c>
      <c r="Q615" s="95">
        <f t="shared" si="567"/>
        <v>0</v>
      </c>
      <c r="R615" s="116"/>
    </row>
    <row r="616" spans="1:18" ht="15" thickBot="1" x14ac:dyDescent="0.35">
      <c r="A616" s="83" t="str">
        <f>IF(TRIM(H616)&lt;&gt;"",COUNTA(H$9:$H616)&amp;"","")</f>
        <v/>
      </c>
      <c r="B616" s="98"/>
      <c r="C616" s="98"/>
      <c r="D616" s="85"/>
      <c r="E616" s="99"/>
      <c r="F616" s="87"/>
      <c r="H616" s="88"/>
      <c r="I616" s="89" t="str">
        <f t="shared" ref="I616" si="604">IF(F616=0,"",0)</f>
        <v/>
      </c>
      <c r="J616" s="90" t="str">
        <f t="shared" ref="J616" si="605">IF(F616=0,"",F616+(F616*I616))</f>
        <v/>
      </c>
      <c r="K616" s="91" t="str">
        <f t="shared" ref="K616" si="606">IF(F616=0,"",0)</f>
        <v/>
      </c>
      <c r="L616" s="92" t="str">
        <f t="shared" ref="L616" si="607">IF(F616=0,"",K616*J616)</f>
        <v/>
      </c>
      <c r="M616" s="93" t="str">
        <f t="shared" ref="M616" si="608">IF(F616=0,"",M$7)</f>
        <v/>
      </c>
      <c r="N616" s="94" t="str">
        <f t="shared" ref="N616" si="609">IF(F616=0,"",0)</f>
        <v/>
      </c>
      <c r="O616" s="94" t="str">
        <f t="shared" ref="O616" si="610">IF(F616=0,"",N616*J616)</f>
        <v/>
      </c>
      <c r="P616" s="92" t="str">
        <f t="shared" ref="P616" si="611">IF(F616=0,"",O616*M616)</f>
        <v/>
      </c>
      <c r="Q616" s="95" t="str">
        <f t="shared" ref="Q616" si="612">IF(F616=0,"",L616+P616)</f>
        <v/>
      </c>
      <c r="R616" s="116"/>
    </row>
    <row r="617" spans="1:18" s="111" customFormat="1" ht="16.2" thickBot="1" x14ac:dyDescent="0.35">
      <c r="A617" s="83" t="str">
        <f>IF(TRIM(H617)&lt;&gt;"",COUNTA(H$9:$H617)&amp;"","")</f>
        <v/>
      </c>
      <c r="B617" s="84"/>
      <c r="C617" s="84"/>
      <c r="D617" s="119"/>
      <c r="E617" s="102"/>
      <c r="F617" s="87"/>
      <c r="H617" s="120"/>
      <c r="I617" s="105" t="s">
        <v>12</v>
      </c>
      <c r="J617" s="106"/>
      <c r="K617" s="107">
        <f>SUM(L$593:L$616)</f>
        <v>0</v>
      </c>
      <c r="L617" s="211" t="s">
        <v>13</v>
      </c>
      <c r="M617" s="212"/>
      <c r="N617" s="108">
        <f>SUM(P$593:P$616)</f>
        <v>0</v>
      </c>
      <c r="O617" s="211" t="s">
        <v>42</v>
      </c>
      <c r="P617" s="212"/>
      <c r="Q617" s="109">
        <f>SUM(O$593:O$616)</f>
        <v>0</v>
      </c>
      <c r="R617" s="110">
        <f>SUM(Q$593:Q$616)</f>
        <v>0</v>
      </c>
    </row>
    <row r="618" spans="1:18" ht="15" thickBot="1" x14ac:dyDescent="0.35">
      <c r="A618" s="83" t="str">
        <f>IF(TRIM(H618)&lt;&gt;"",COUNTA(H$9:$H618)&amp;"","")</f>
        <v/>
      </c>
      <c r="B618" s="98"/>
      <c r="C618" s="98"/>
      <c r="D618" s="122"/>
      <c r="E618" s="99"/>
      <c r="F618" s="87"/>
      <c r="H618" s="88"/>
      <c r="I618" s="89" t="str">
        <f>IF(F618=0,"",0)</f>
        <v/>
      </c>
      <c r="J618" s="90" t="str">
        <f t="shared" ref="J618" si="613">IF(F618=0,"",F618+(F618*I618))</f>
        <v/>
      </c>
      <c r="K618" s="91" t="str">
        <f>IF(F618=0,"",0)</f>
        <v/>
      </c>
      <c r="L618" s="92" t="str">
        <f>IF(F618=0,"",K618*J618)</f>
        <v/>
      </c>
      <c r="M618" s="93" t="str">
        <f>IF(F618=0,"",M$7)</f>
        <v/>
      </c>
      <c r="N618" s="94" t="str">
        <f>IF(F618=0,"",0)</f>
        <v/>
      </c>
      <c r="O618" s="94" t="str">
        <f>IF(F618=0,"",N618*J618)</f>
        <v/>
      </c>
      <c r="P618" s="92" t="str">
        <f>IF(F618=0,"",O618*M618)</f>
        <v/>
      </c>
      <c r="Q618" s="95" t="str">
        <f>IF(F618=0,"",L618+P618)</f>
        <v/>
      </c>
      <c r="R618" s="96"/>
    </row>
    <row r="619" spans="1:18" s="111" customFormat="1" ht="16.2" thickBot="1" x14ac:dyDescent="0.35">
      <c r="A619" s="83" t="str">
        <f>IF(TRIM(H619)&lt;&gt;"",COUNTA(H$9:$H619)&amp;"","")</f>
        <v/>
      </c>
      <c r="B619" s="100"/>
      <c r="C619" s="100"/>
      <c r="D619" s="101"/>
      <c r="E619" s="102"/>
      <c r="F619" s="103"/>
      <c r="H619" s="104"/>
      <c r="I619" s="219" t="s">
        <v>172</v>
      </c>
      <c r="J619" s="220"/>
      <c r="K619" s="221">
        <f>SUM(L$8:L$618)</f>
        <v>1006.7244228142077</v>
      </c>
      <c r="L619" s="222" t="s">
        <v>173</v>
      </c>
      <c r="M619" s="223"/>
      <c r="N619" s="224">
        <f>SUM(P$8:P$618)</f>
        <v>0</v>
      </c>
      <c r="O619" s="222" t="s">
        <v>174</v>
      </c>
      <c r="P619" s="223"/>
      <c r="Q619" s="224">
        <f>SUM(O$8:O$618)</f>
        <v>78.402564776867038</v>
      </c>
      <c r="R619" s="224">
        <f>SUM(R$8:R$618)</f>
        <v>1006.7244228142077</v>
      </c>
    </row>
    <row r="620" spans="1:18" ht="15" thickBot="1" x14ac:dyDescent="0.35">
      <c r="A620" s="83" t="str">
        <f>IF(TRIM(H620)&lt;&gt;"",COUNTA(H$9:$H620)&amp;"","")</f>
        <v/>
      </c>
      <c r="B620" s="84"/>
      <c r="C620" s="84"/>
      <c r="D620" s="114"/>
      <c r="E620" s="86"/>
      <c r="F620" s="87"/>
      <c r="H620" s="88"/>
      <c r="I620" s="89" t="str">
        <f>IF(F620=0,"",0)</f>
        <v/>
      </c>
      <c r="J620" s="90" t="str">
        <f t="shared" ref="J620" si="614">IF(F620=0,"",F620+(F620*I620))</f>
        <v/>
      </c>
      <c r="K620" s="91" t="str">
        <f>IF(F620=0,"",0)</f>
        <v/>
      </c>
      <c r="L620" s="92" t="str">
        <f>IF(F620=0,"",K620*J620)</f>
        <v/>
      </c>
      <c r="M620" s="93" t="str">
        <f>IF(F620=0,"",M$7)</f>
        <v/>
      </c>
      <c r="N620" s="94" t="str">
        <f>IF(F620=0,"",0)</f>
        <v/>
      </c>
      <c r="O620" s="94" t="str">
        <f>IF(F620=0,"",N620*J620)</f>
        <v/>
      </c>
      <c r="P620" s="92" t="str">
        <f>IF(F620=0,"",O620*M620)</f>
        <v/>
      </c>
      <c r="Q620" s="95" t="str">
        <f>IF(F620=0,"",L620+P620)</f>
        <v/>
      </c>
      <c r="R620" s="96"/>
    </row>
    <row r="621" spans="1:18" ht="20.100000000000001" customHeight="1" thickBot="1" x14ac:dyDescent="0.35">
      <c r="A621" s="216" t="s">
        <v>26</v>
      </c>
      <c r="B621" s="217"/>
      <c r="C621" s="217"/>
      <c r="D621" s="217"/>
      <c r="E621" s="217"/>
      <c r="F621" s="217"/>
      <c r="G621" s="217"/>
      <c r="H621" s="217"/>
      <c r="I621" s="217"/>
      <c r="J621" s="217"/>
      <c r="K621" s="217"/>
      <c r="L621" s="217"/>
      <c r="M621" s="217"/>
      <c r="N621" s="217"/>
      <c r="O621" s="217"/>
      <c r="P621" s="217"/>
      <c r="Q621" s="218"/>
      <c r="R621" s="123">
        <f>SUM(L$9:$L$620)</f>
        <v>1006.7244228142077</v>
      </c>
    </row>
    <row r="622" spans="1:18" ht="20.100000000000001" customHeight="1" thickBot="1" x14ac:dyDescent="0.35">
      <c r="A622" s="216" t="s">
        <v>27</v>
      </c>
      <c r="B622" s="217"/>
      <c r="C622" s="217"/>
      <c r="D622" s="217"/>
      <c r="E622" s="217"/>
      <c r="F622" s="217"/>
      <c r="G622" s="217"/>
      <c r="H622" s="217"/>
      <c r="I622" s="217"/>
      <c r="J622" s="217"/>
      <c r="K622" s="217"/>
      <c r="L622" s="217"/>
      <c r="M622" s="217"/>
      <c r="N622" s="217"/>
      <c r="O622" s="217"/>
      <c r="P622" s="217"/>
      <c r="Q622" s="218"/>
      <c r="R622" s="123">
        <f>SUM(P$9:P$620)</f>
        <v>0</v>
      </c>
    </row>
    <row r="623" spans="1:18" ht="20.100000000000001" customHeight="1" thickBot="1" x14ac:dyDescent="0.35">
      <c r="A623" s="216" t="s">
        <v>168</v>
      </c>
      <c r="B623" s="217"/>
      <c r="C623" s="217"/>
      <c r="D623" s="217"/>
      <c r="E623" s="217"/>
      <c r="F623" s="217"/>
      <c r="G623" s="217"/>
      <c r="H623" s="217"/>
      <c r="I623" s="217"/>
      <c r="J623" s="217"/>
      <c r="K623" s="217"/>
      <c r="L623" s="217"/>
      <c r="M623" s="217"/>
      <c r="N623" s="217"/>
      <c r="O623" s="217"/>
      <c r="P623" s="217"/>
      <c r="Q623" s="218"/>
      <c r="R623" s="124">
        <f>SUM(O$9:O$620)</f>
        <v>78.402564776867038</v>
      </c>
    </row>
    <row r="624" spans="1:18" ht="17.399999999999999" x14ac:dyDescent="0.3">
      <c r="A624" s="125"/>
      <c r="B624" s="126" t="s">
        <v>113</v>
      </c>
      <c r="C624" s="127"/>
      <c r="D624" s="128"/>
      <c r="E624" s="126"/>
      <c r="F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30"/>
    </row>
    <row r="625" spans="1:18" s="132" customFormat="1" ht="18" customHeight="1" x14ac:dyDescent="0.3">
      <c r="A625" s="131">
        <v>1</v>
      </c>
      <c r="B625" s="213" t="s">
        <v>189</v>
      </c>
      <c r="C625" s="213"/>
      <c r="D625" s="213"/>
      <c r="E625" s="213"/>
      <c r="F625" s="213"/>
      <c r="G625" s="213"/>
      <c r="H625" s="213"/>
      <c r="I625" s="213"/>
      <c r="J625" s="213"/>
      <c r="K625" s="213"/>
      <c r="L625" s="213"/>
      <c r="M625" s="213"/>
      <c r="N625" s="213"/>
      <c r="O625" s="213"/>
      <c r="P625" s="213"/>
      <c r="Q625" s="213"/>
      <c r="R625" s="213"/>
    </row>
    <row r="626" spans="1:18" s="132" customFormat="1" ht="18" customHeight="1" x14ac:dyDescent="0.3">
      <c r="A626" s="131">
        <v>2</v>
      </c>
      <c r="B626" s="213" t="s">
        <v>190</v>
      </c>
      <c r="C626" s="213"/>
      <c r="D626" s="213"/>
      <c r="E626" s="213"/>
      <c r="F626" s="213"/>
      <c r="G626" s="213"/>
      <c r="H626" s="213"/>
      <c r="I626" s="213"/>
      <c r="J626" s="213"/>
      <c r="K626" s="213"/>
      <c r="L626" s="213"/>
      <c r="M626" s="213"/>
      <c r="N626" s="213"/>
      <c r="O626" s="213"/>
      <c r="P626" s="213"/>
      <c r="Q626" s="213"/>
      <c r="R626" s="213"/>
    </row>
    <row r="627" spans="1:18" s="132" customFormat="1" ht="18" customHeight="1" x14ac:dyDescent="0.3">
      <c r="A627" s="131">
        <v>3</v>
      </c>
      <c r="B627" s="213" t="s">
        <v>115</v>
      </c>
      <c r="C627" s="213"/>
      <c r="D627" s="213"/>
      <c r="E627" s="213"/>
      <c r="F627" s="213"/>
      <c r="G627" s="213"/>
      <c r="H627" s="213"/>
      <c r="I627" s="213"/>
      <c r="J627" s="213"/>
      <c r="K627" s="213"/>
      <c r="L627" s="213"/>
      <c r="M627" s="213"/>
      <c r="N627" s="213"/>
      <c r="O627" s="213"/>
      <c r="P627" s="213"/>
      <c r="Q627" s="213"/>
      <c r="R627" s="213"/>
    </row>
    <row r="628" spans="1:18" s="132" customFormat="1" ht="18" customHeight="1" x14ac:dyDescent="0.3">
      <c r="A628" s="131">
        <v>4</v>
      </c>
      <c r="B628" s="213" t="s">
        <v>191</v>
      </c>
      <c r="C628" s="213"/>
      <c r="D628" s="213"/>
      <c r="E628" s="213"/>
      <c r="F628" s="213"/>
      <c r="G628" s="213"/>
      <c r="H628" s="213"/>
      <c r="I628" s="213"/>
      <c r="J628" s="213"/>
      <c r="K628" s="213"/>
      <c r="L628" s="213"/>
      <c r="M628" s="213"/>
      <c r="N628" s="213"/>
      <c r="O628" s="213"/>
      <c r="P628" s="213"/>
      <c r="Q628" s="213"/>
      <c r="R628" s="213"/>
    </row>
    <row r="629" spans="1:18" ht="21" thickBot="1" x14ac:dyDescent="0.35">
      <c r="A629" s="133"/>
      <c r="B629" s="134"/>
      <c r="C629" s="134"/>
      <c r="D629" s="135"/>
      <c r="E629" s="214"/>
      <c r="F629" s="214"/>
      <c r="G629" s="214"/>
      <c r="H629" s="214"/>
      <c r="I629" s="214"/>
      <c r="J629" s="214"/>
      <c r="K629" s="214"/>
      <c r="L629" s="214"/>
      <c r="M629" s="214"/>
      <c r="N629" s="214"/>
      <c r="O629" s="214"/>
      <c r="P629" s="214"/>
      <c r="Q629" s="214"/>
      <c r="R629" s="215"/>
    </row>
  </sheetData>
  <mergeCells count="62">
    <mergeCell ref="B628:R628"/>
    <mergeCell ref="N4:O4"/>
    <mergeCell ref="E629:R629"/>
    <mergeCell ref="L619:M619"/>
    <mergeCell ref="O619:P619"/>
    <mergeCell ref="O344:P344"/>
    <mergeCell ref="A621:Q621"/>
    <mergeCell ref="A622:Q622"/>
    <mergeCell ref="A623:Q623"/>
    <mergeCell ref="I619:J619"/>
    <mergeCell ref="L617:M617"/>
    <mergeCell ref="O617:P617"/>
    <mergeCell ref="B625:R625"/>
    <mergeCell ref="B626:R626"/>
    <mergeCell ref="B627:R627"/>
    <mergeCell ref="O23:P23"/>
    <mergeCell ref="L23:M23"/>
    <mergeCell ref="L154:M154"/>
    <mergeCell ref="O78:P78"/>
    <mergeCell ref="L87:M87"/>
    <mergeCell ref="L78:M78"/>
    <mergeCell ref="L116:M116"/>
    <mergeCell ref="O116:P116"/>
    <mergeCell ref="L111:M111"/>
    <mergeCell ref="O87:P87"/>
    <mergeCell ref="L592:M592"/>
    <mergeCell ref="O592:P592"/>
    <mergeCell ref="L577:M577"/>
    <mergeCell ref="O577:P577"/>
    <mergeCell ref="L268:M268"/>
    <mergeCell ref="L440:M440"/>
    <mergeCell ref="O440:P440"/>
    <mergeCell ref="L344:M344"/>
    <mergeCell ref="O268:P268"/>
    <mergeCell ref="L263:M263"/>
    <mergeCell ref="O263:P263"/>
    <mergeCell ref="L96:M96"/>
    <mergeCell ref="O96:P96"/>
    <mergeCell ref="L230:M230"/>
    <mergeCell ref="O230:P230"/>
    <mergeCell ref="L130:M130"/>
    <mergeCell ref="O130:P130"/>
    <mergeCell ref="O111:P111"/>
    <mergeCell ref="L251:M251"/>
    <mergeCell ref="O154:P154"/>
    <mergeCell ref="O251:P251"/>
    <mergeCell ref="A1:D3"/>
    <mergeCell ref="A4:D5"/>
    <mergeCell ref="E3:M3"/>
    <mergeCell ref="P1:R1"/>
    <mergeCell ref="P2:R2"/>
    <mergeCell ref="P3:R3"/>
    <mergeCell ref="P4:R4"/>
    <mergeCell ref="N3:O3"/>
    <mergeCell ref="E4:M4"/>
    <mergeCell ref="P5:R5"/>
    <mergeCell ref="N5:O5"/>
    <mergeCell ref="F5:M5"/>
    <mergeCell ref="E2:M2"/>
    <mergeCell ref="N1:O1"/>
    <mergeCell ref="E1:M1"/>
    <mergeCell ref="N2:O2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B261F69-33F3-4A85-9AD3-80F7C7FE4B86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Recap &amp; Summary</vt:lpstr>
      <vt:lpstr>Estimate</vt:lpstr>
      <vt:lpstr>'Bid Recap &amp; Summary'!Print_Area</vt:lpstr>
      <vt:lpstr>Estimate!Print_Area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2024-10-04T19:22:53Z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{1B261F69-33F3-4A85-9AD3-80F7C7FE4B86}</vt:lpwstr>
  </property>
</Properties>
</file>