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5098E50-D044-4FF8-8567-1BC36019BAE5}" xr6:coauthVersionLast="47" xr6:coauthVersionMax="47" xr10:uidLastSave="{00000000-0000-0000-0000-000000000000}"/>
  <bookViews>
    <workbookView xWindow="-108" yWindow="-108" windowWidth="23256" windowHeight="12456" activeTab="1" xr2:uid="{00000000-000D-0000-FFFF-FFFF00000000}"/>
  </bookViews>
  <sheets>
    <sheet name="Bid Recap &amp; Summary" sheetId="2" r:id="rId1"/>
    <sheet name="Estimate" sheetId="3" r:id="rId2"/>
  </sheets>
  <definedNames>
    <definedName name="_xlnm.Print_Area" localSheetId="0">'Bid Recap &amp; Summary'!$A$1:$L$38</definedName>
    <definedName name="_xlnm.Print_Area" localSheetId="1">Estimate!$A$1:$P$403</definedName>
    <definedName name="_xlnm.Print_Titles" localSheetId="1">Estimate!$1:$4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7" i="3" l="1"/>
  <c r="E323" i="3"/>
  <c r="G323" i="3" s="1"/>
  <c r="M323" i="3" s="1"/>
  <c r="E322" i="3"/>
  <c r="G322" i="3" s="1"/>
  <c r="E321" i="3"/>
  <c r="G321" i="3" s="1"/>
  <c r="M321" i="3" s="1"/>
  <c r="E320" i="3"/>
  <c r="G320" i="3" s="1"/>
  <c r="E319" i="3"/>
  <c r="G319" i="3" s="1"/>
  <c r="M319" i="3" s="1"/>
  <c r="E318" i="3"/>
  <c r="G318" i="3" s="1"/>
  <c r="G317" i="3"/>
  <c r="M317" i="3" s="1"/>
  <c r="J317" i="3" l="1"/>
  <c r="J319" i="3"/>
  <c r="J321" i="3"/>
  <c r="J323" i="3"/>
  <c r="M318" i="3"/>
  <c r="J318" i="3"/>
  <c r="M320" i="3"/>
  <c r="J320" i="3"/>
  <c r="M322" i="3"/>
  <c r="J322" i="3"/>
  <c r="O274" i="3" l="1"/>
  <c r="I350" i="3"/>
  <c r="I342" i="3"/>
  <c r="I311" i="3"/>
  <c r="I291" i="3"/>
  <c r="I285" i="3"/>
  <c r="E290" i="3"/>
  <c r="G290" i="3" s="1"/>
  <c r="M290" i="3" s="1"/>
  <c r="E289" i="3"/>
  <c r="G289" i="3" s="1"/>
  <c r="E288" i="3"/>
  <c r="G288" i="3" s="1"/>
  <c r="M288" i="3" s="1"/>
  <c r="E287" i="3"/>
  <c r="G287" i="3" s="1"/>
  <c r="E286" i="3"/>
  <c r="G286" i="3" s="1"/>
  <c r="M286" i="3" s="1"/>
  <c r="I280" i="3"/>
  <c r="E184" i="3"/>
  <c r="G184" i="3" s="1"/>
  <c r="E183" i="3"/>
  <c r="G183" i="3" s="1"/>
  <c r="E182" i="3"/>
  <c r="G182" i="3" s="1"/>
  <c r="M182" i="3" s="1"/>
  <c r="E181" i="3"/>
  <c r="G181" i="3" s="1"/>
  <c r="E180" i="3"/>
  <c r="G180" i="3" s="1"/>
  <c r="E178" i="3"/>
  <c r="G178" i="3" s="1"/>
  <c r="M178" i="3" s="1"/>
  <c r="E177" i="3"/>
  <c r="G177" i="3" s="1"/>
  <c r="E176" i="3"/>
  <c r="G176" i="3" s="1"/>
  <c r="E175" i="3"/>
  <c r="G175" i="3" s="1"/>
  <c r="E174" i="3"/>
  <c r="G174" i="3" s="1"/>
  <c r="M174" i="3" s="1"/>
  <c r="E172" i="3"/>
  <c r="G172" i="3" s="1"/>
  <c r="M172" i="3" s="1"/>
  <c r="E171" i="3"/>
  <c r="G171" i="3" s="1"/>
  <c r="E170" i="3"/>
  <c r="G170" i="3" s="1"/>
  <c r="E169" i="3"/>
  <c r="G169" i="3" s="1"/>
  <c r="E168" i="3"/>
  <c r="G168" i="3" s="1"/>
  <c r="M168" i="3" s="1"/>
  <c r="I160" i="3"/>
  <c r="I159" i="3"/>
  <c r="I158" i="3"/>
  <c r="I157" i="3"/>
  <c r="I148" i="3"/>
  <c r="I143" i="3"/>
  <c r="I136" i="3"/>
  <c r="I132" i="3"/>
  <c r="I125" i="3"/>
  <c r="I59" i="3"/>
  <c r="I57" i="3"/>
  <c r="I55" i="3"/>
  <c r="I61" i="3"/>
  <c r="I60" i="3"/>
  <c r="I58" i="3"/>
  <c r="I56" i="3"/>
  <c r="I54" i="3"/>
  <c r="I47" i="3"/>
  <c r="I39" i="3"/>
  <c r="I34" i="3"/>
  <c r="I27" i="3"/>
  <c r="I19" i="3"/>
  <c r="I14" i="3"/>
  <c r="I7" i="3"/>
  <c r="M289" i="3" l="1"/>
  <c r="J289" i="3"/>
  <c r="J287" i="3"/>
  <c r="M287" i="3"/>
  <c r="J286" i="3"/>
  <c r="J288" i="3"/>
  <c r="J290" i="3"/>
  <c r="J180" i="3"/>
  <c r="M180" i="3"/>
  <c r="M183" i="3"/>
  <c r="J183" i="3"/>
  <c r="J181" i="3"/>
  <c r="M181" i="3"/>
  <c r="J184" i="3"/>
  <c r="M184" i="3"/>
  <c r="J182" i="3"/>
  <c r="J176" i="3"/>
  <c r="M176" i="3"/>
  <c r="J177" i="3"/>
  <c r="M177" i="3"/>
  <c r="M175" i="3"/>
  <c r="J175" i="3"/>
  <c r="J174" i="3"/>
  <c r="J178" i="3"/>
  <c r="M169" i="3"/>
  <c r="J169" i="3"/>
  <c r="J170" i="3"/>
  <c r="M170" i="3"/>
  <c r="J171" i="3"/>
  <c r="M171" i="3"/>
  <c r="J168" i="3"/>
  <c r="J172" i="3"/>
  <c r="E26" i="3" l="1"/>
  <c r="G26" i="3" s="1"/>
  <c r="E25" i="3"/>
  <c r="G25" i="3" s="1"/>
  <c r="E24" i="3"/>
  <c r="G24" i="3" s="1"/>
  <c r="E23" i="3"/>
  <c r="G23" i="3" s="1"/>
  <c r="E22" i="3"/>
  <c r="G22" i="3" s="1"/>
  <c r="E21" i="3"/>
  <c r="G21" i="3" s="1"/>
  <c r="E20" i="3"/>
  <c r="G20" i="3" s="1"/>
  <c r="E13" i="3"/>
  <c r="G13" i="3" s="1"/>
  <c r="E12" i="3"/>
  <c r="G12" i="3" s="1"/>
  <c r="E11" i="3"/>
  <c r="G11" i="3" s="1"/>
  <c r="E10" i="3"/>
  <c r="G10" i="3" s="1"/>
  <c r="E9" i="3"/>
  <c r="G9" i="3" s="1"/>
  <c r="G8" i="3"/>
  <c r="E218" i="3"/>
  <c r="G218" i="3" s="1"/>
  <c r="J218" i="3" s="1"/>
  <c r="E217" i="3"/>
  <c r="G217" i="3" s="1"/>
  <c r="E216" i="3"/>
  <c r="G216" i="3" s="1"/>
  <c r="M216" i="3" s="1"/>
  <c r="E215" i="3"/>
  <c r="G215" i="3" s="1"/>
  <c r="E214" i="3"/>
  <c r="G214" i="3" s="1"/>
  <c r="J214" i="3" s="1"/>
  <c r="L198" i="3"/>
  <c r="I198" i="3"/>
  <c r="E272" i="3"/>
  <c r="G272" i="3" s="1"/>
  <c r="J272" i="3" s="1"/>
  <c r="E271" i="3"/>
  <c r="G271" i="3" s="1"/>
  <c r="E270" i="3"/>
  <c r="G270" i="3" s="1"/>
  <c r="M270" i="3" s="1"/>
  <c r="E269" i="3"/>
  <c r="G269" i="3" s="1"/>
  <c r="E268" i="3"/>
  <c r="G268" i="3" s="1"/>
  <c r="J268" i="3" s="1"/>
  <c r="E266" i="3"/>
  <c r="G266" i="3" s="1"/>
  <c r="J266" i="3" s="1"/>
  <c r="E265" i="3"/>
  <c r="G265" i="3" s="1"/>
  <c r="E264" i="3"/>
  <c r="G264" i="3" s="1"/>
  <c r="M264" i="3" s="1"/>
  <c r="E263" i="3"/>
  <c r="G263" i="3" s="1"/>
  <c r="E262" i="3"/>
  <c r="G262" i="3" s="1"/>
  <c r="J262" i="3" s="1"/>
  <c r="E260" i="3"/>
  <c r="G260" i="3" s="1"/>
  <c r="M260" i="3" s="1"/>
  <c r="E259" i="3"/>
  <c r="G259" i="3" s="1"/>
  <c r="E258" i="3"/>
  <c r="G258" i="3" s="1"/>
  <c r="E257" i="3"/>
  <c r="G257" i="3" s="1"/>
  <c r="E256" i="3"/>
  <c r="G256" i="3" s="1"/>
  <c r="M256" i="3" s="1"/>
  <c r="E254" i="3"/>
  <c r="G254" i="3" s="1"/>
  <c r="E253" i="3"/>
  <c r="G253" i="3" s="1"/>
  <c r="M253" i="3" s="1"/>
  <c r="E252" i="3"/>
  <c r="G252" i="3" s="1"/>
  <c r="E251" i="3"/>
  <c r="G251" i="3" s="1"/>
  <c r="E210" i="3"/>
  <c r="G210" i="3" s="1"/>
  <c r="E209" i="3"/>
  <c r="G209" i="3" s="1"/>
  <c r="E208" i="3"/>
  <c r="G208" i="3" s="1"/>
  <c r="M208" i="3" s="1"/>
  <c r="E207" i="3"/>
  <c r="G207" i="3" s="1"/>
  <c r="E206" i="3"/>
  <c r="G206" i="3" s="1"/>
  <c r="E197" i="3"/>
  <c r="G197" i="3" s="1"/>
  <c r="E196" i="3"/>
  <c r="G196" i="3" s="1"/>
  <c r="E195" i="3"/>
  <c r="G195" i="3" s="1"/>
  <c r="M195" i="3" s="1"/>
  <c r="E194" i="3"/>
  <c r="G194" i="3" s="1"/>
  <c r="E193" i="3"/>
  <c r="G193" i="3" s="1"/>
  <c r="E191" i="3"/>
  <c r="G191" i="3" s="1"/>
  <c r="M191" i="3" s="1"/>
  <c r="E190" i="3"/>
  <c r="G190" i="3" s="1"/>
  <c r="E189" i="3"/>
  <c r="G189" i="3" s="1"/>
  <c r="E188" i="3"/>
  <c r="G188" i="3" s="1"/>
  <c r="E187" i="3"/>
  <c r="G187" i="3" s="1"/>
  <c r="M187" i="3" s="1"/>
  <c r="E203" i="3"/>
  <c r="G203" i="3" s="1"/>
  <c r="M203" i="3" s="1"/>
  <c r="E202" i="3"/>
  <c r="G202" i="3" s="1"/>
  <c r="E201" i="3"/>
  <c r="G201" i="3" s="1"/>
  <c r="E200" i="3"/>
  <c r="G200" i="3" s="1"/>
  <c r="E199" i="3"/>
  <c r="G199" i="3" s="1"/>
  <c r="M199" i="3" s="1"/>
  <c r="G15" i="3"/>
  <c r="E16" i="3"/>
  <c r="G16" i="3" s="1"/>
  <c r="J16" i="3" s="1"/>
  <c r="E17" i="3"/>
  <c r="G17" i="3" s="1"/>
  <c r="M17" i="3" s="1"/>
  <c r="E18" i="3"/>
  <c r="G18" i="3" s="1"/>
  <c r="K5" i="3"/>
  <c r="A1" i="2"/>
  <c r="K351" i="3" l="1"/>
  <c r="K317" i="3"/>
  <c r="N317" i="3" s="1"/>
  <c r="O317" i="3" s="1"/>
  <c r="K321" i="3"/>
  <c r="N321" i="3" s="1"/>
  <c r="O321" i="3" s="1"/>
  <c r="K318" i="3"/>
  <c r="N318" i="3" s="1"/>
  <c r="O318" i="3" s="1"/>
  <c r="K322" i="3"/>
  <c r="N322" i="3" s="1"/>
  <c r="O322" i="3" s="1"/>
  <c r="K319" i="3"/>
  <c r="N319" i="3" s="1"/>
  <c r="O319" i="3" s="1"/>
  <c r="K323" i="3"/>
  <c r="N323" i="3" s="1"/>
  <c r="O323" i="3" s="1"/>
  <c r="K320" i="3"/>
  <c r="N320" i="3" s="1"/>
  <c r="O320" i="3" s="1"/>
  <c r="K284" i="3"/>
  <c r="K288" i="3"/>
  <c r="N288" i="3" s="1"/>
  <c r="O288" i="3" s="1"/>
  <c r="K292" i="3"/>
  <c r="K285" i="3"/>
  <c r="K289" i="3"/>
  <c r="N289" i="3" s="1"/>
  <c r="O289" i="3" s="1"/>
  <c r="K286" i="3"/>
  <c r="N286" i="3" s="1"/>
  <c r="O286" i="3" s="1"/>
  <c r="K290" i="3"/>
  <c r="N290" i="3" s="1"/>
  <c r="O290" i="3" s="1"/>
  <c r="K287" i="3"/>
  <c r="N287" i="3" s="1"/>
  <c r="O287" i="3" s="1"/>
  <c r="K291" i="3"/>
  <c r="K181" i="3"/>
  <c r="N181" i="3" s="1"/>
  <c r="O181" i="3" s="1"/>
  <c r="K182" i="3"/>
  <c r="N182" i="3" s="1"/>
  <c r="O182" i="3" s="1"/>
  <c r="K183" i="3"/>
  <c r="N183" i="3" s="1"/>
  <c r="O183" i="3" s="1"/>
  <c r="K184" i="3"/>
  <c r="N184" i="3" s="1"/>
  <c r="O184" i="3" s="1"/>
  <c r="K180" i="3"/>
  <c r="N180" i="3" s="1"/>
  <c r="O180" i="3" s="1"/>
  <c r="K177" i="3"/>
  <c r="N177" i="3" s="1"/>
  <c r="O177" i="3" s="1"/>
  <c r="K178" i="3"/>
  <c r="N178" i="3" s="1"/>
  <c r="O178" i="3" s="1"/>
  <c r="K174" i="3"/>
  <c r="N174" i="3" s="1"/>
  <c r="O174" i="3" s="1"/>
  <c r="K175" i="3"/>
  <c r="N175" i="3" s="1"/>
  <c r="O175" i="3" s="1"/>
  <c r="K176" i="3"/>
  <c r="N176" i="3" s="1"/>
  <c r="O176" i="3" s="1"/>
  <c r="K171" i="3"/>
  <c r="N171" i="3" s="1"/>
  <c r="O171" i="3" s="1"/>
  <c r="K172" i="3"/>
  <c r="N172" i="3" s="1"/>
  <c r="O172" i="3" s="1"/>
  <c r="K168" i="3"/>
  <c r="N168" i="3" s="1"/>
  <c r="O168" i="3" s="1"/>
  <c r="K169" i="3"/>
  <c r="N169" i="3" s="1"/>
  <c r="O169" i="3" s="1"/>
  <c r="K170" i="3"/>
  <c r="N170" i="3" s="1"/>
  <c r="O170" i="3" s="1"/>
  <c r="K17" i="3"/>
  <c r="N17" i="3" s="1"/>
  <c r="K188" i="3"/>
  <c r="K192" i="3"/>
  <c r="K196" i="3"/>
  <c r="K200" i="3"/>
  <c r="K204" i="3"/>
  <c r="K185" i="3"/>
  <c r="K189" i="3"/>
  <c r="K193" i="3"/>
  <c r="K197" i="3"/>
  <c r="K201" i="3"/>
  <c r="K173" i="3"/>
  <c r="K186" i="3"/>
  <c r="K190" i="3"/>
  <c r="K194" i="3"/>
  <c r="K198" i="3"/>
  <c r="K202" i="3"/>
  <c r="K179" i="3"/>
  <c r="K187" i="3"/>
  <c r="N187" i="3" s="1"/>
  <c r="K191" i="3"/>
  <c r="N191" i="3" s="1"/>
  <c r="K195" i="3"/>
  <c r="N195" i="3" s="1"/>
  <c r="K199" i="3"/>
  <c r="N199" i="3" s="1"/>
  <c r="K203" i="3"/>
  <c r="N203" i="3" s="1"/>
  <c r="K10" i="3"/>
  <c r="K26" i="3"/>
  <c r="K22" i="3"/>
  <c r="K7" i="3"/>
  <c r="K19" i="3"/>
  <c r="K13" i="3"/>
  <c r="K9" i="3"/>
  <c r="K25" i="3"/>
  <c r="K21" i="3"/>
  <c r="K11" i="3"/>
  <c r="K23" i="3"/>
  <c r="K12" i="3"/>
  <c r="K8" i="3"/>
  <c r="K24" i="3"/>
  <c r="K20" i="3"/>
  <c r="M22" i="3"/>
  <c r="J22" i="3"/>
  <c r="M26" i="3"/>
  <c r="J26" i="3"/>
  <c r="M23" i="3"/>
  <c r="J23" i="3"/>
  <c r="M20" i="3"/>
  <c r="J20" i="3"/>
  <c r="M24" i="3"/>
  <c r="J24" i="3"/>
  <c r="M21" i="3"/>
  <c r="J21" i="3"/>
  <c r="M25" i="3"/>
  <c r="J25" i="3"/>
  <c r="M9" i="3"/>
  <c r="J9" i="3"/>
  <c r="M13" i="3"/>
  <c r="J13" i="3"/>
  <c r="M10" i="3"/>
  <c r="J10" i="3"/>
  <c r="M11" i="3"/>
  <c r="J11" i="3"/>
  <c r="M8" i="3"/>
  <c r="J8" i="3"/>
  <c r="M12" i="3"/>
  <c r="N12" i="3" s="1"/>
  <c r="J12" i="3"/>
  <c r="M217" i="3"/>
  <c r="J217" i="3"/>
  <c r="J215" i="3"/>
  <c r="M215" i="3"/>
  <c r="K214" i="3"/>
  <c r="K218" i="3"/>
  <c r="M214" i="3"/>
  <c r="J216" i="3"/>
  <c r="K217" i="3"/>
  <c r="M218" i="3"/>
  <c r="K216" i="3"/>
  <c r="N216" i="3" s="1"/>
  <c r="K215" i="3"/>
  <c r="M271" i="3"/>
  <c r="J271" i="3"/>
  <c r="J269" i="3"/>
  <c r="M269" i="3"/>
  <c r="K262" i="3"/>
  <c r="K264" i="3"/>
  <c r="N264" i="3" s="1"/>
  <c r="K266" i="3"/>
  <c r="K268" i="3"/>
  <c r="K272" i="3"/>
  <c r="M268" i="3"/>
  <c r="J270" i="3"/>
  <c r="K271" i="3"/>
  <c r="M272" i="3"/>
  <c r="K270" i="3"/>
  <c r="N270" i="3" s="1"/>
  <c r="K269" i="3"/>
  <c r="J263" i="3"/>
  <c r="M263" i="3"/>
  <c r="M265" i="3"/>
  <c r="J265" i="3"/>
  <c r="K258" i="3"/>
  <c r="M262" i="3"/>
  <c r="J264" i="3"/>
  <c r="K265" i="3"/>
  <c r="M266" i="3"/>
  <c r="K263" i="3"/>
  <c r="J259" i="3"/>
  <c r="M259" i="3"/>
  <c r="M257" i="3"/>
  <c r="J257" i="3"/>
  <c r="J258" i="3"/>
  <c r="M258" i="3"/>
  <c r="K251" i="3"/>
  <c r="J256" i="3"/>
  <c r="K257" i="3"/>
  <c r="J260" i="3"/>
  <c r="K256" i="3"/>
  <c r="N256" i="3" s="1"/>
  <c r="K260" i="3"/>
  <c r="N260" i="3" s="1"/>
  <c r="K259" i="3"/>
  <c r="J251" i="3"/>
  <c r="M251" i="3"/>
  <c r="J254" i="3"/>
  <c r="M254" i="3"/>
  <c r="M18" i="3"/>
  <c r="J18" i="3"/>
  <c r="M209" i="3"/>
  <c r="J209" i="3"/>
  <c r="M252" i="3"/>
  <c r="J252" i="3"/>
  <c r="K254" i="3"/>
  <c r="K253" i="3"/>
  <c r="N253" i="3" s="1"/>
  <c r="J253" i="3"/>
  <c r="K252" i="3"/>
  <c r="J210" i="3"/>
  <c r="M210" i="3"/>
  <c r="J206" i="3"/>
  <c r="M206" i="3"/>
  <c r="J207" i="3"/>
  <c r="M207" i="3"/>
  <c r="K206" i="3"/>
  <c r="K210" i="3"/>
  <c r="J208" i="3"/>
  <c r="K209" i="3"/>
  <c r="K208" i="3"/>
  <c r="N208" i="3" s="1"/>
  <c r="J17" i="3"/>
  <c r="K207" i="3"/>
  <c r="M196" i="3"/>
  <c r="J196" i="3"/>
  <c r="J197" i="3"/>
  <c r="M197" i="3"/>
  <c r="J193" i="3"/>
  <c r="M193" i="3"/>
  <c r="J194" i="3"/>
  <c r="M194" i="3"/>
  <c r="J195" i="3"/>
  <c r="J189" i="3"/>
  <c r="M189" i="3"/>
  <c r="J190" i="3"/>
  <c r="M190" i="3"/>
  <c r="M188" i="3"/>
  <c r="J188" i="3"/>
  <c r="J187" i="3"/>
  <c r="J191" i="3"/>
  <c r="J202" i="3"/>
  <c r="M202" i="3"/>
  <c r="M200" i="3"/>
  <c r="J200" i="3"/>
  <c r="J201" i="3"/>
  <c r="M201" i="3"/>
  <c r="J199" i="3"/>
  <c r="J203" i="3"/>
  <c r="K18" i="3"/>
  <c r="M15" i="3"/>
  <c r="J15" i="3"/>
  <c r="M16" i="3"/>
  <c r="K16" i="3"/>
  <c r="K15" i="3"/>
  <c r="G7" i="3"/>
  <c r="N26" i="3" l="1"/>
  <c r="N262" i="3"/>
  <c r="O262" i="3" s="1"/>
  <c r="N251" i="3"/>
  <c r="N8" i="3"/>
  <c r="O8" i="3" s="1"/>
  <c r="N10" i="3"/>
  <c r="O10" i="3" s="1"/>
  <c r="N21" i="3"/>
  <c r="N272" i="3"/>
  <c r="O272" i="3" s="1"/>
  <c r="N197" i="3"/>
  <c r="N23" i="3"/>
  <c r="O23" i="3" s="1"/>
  <c r="N22" i="3"/>
  <c r="O22" i="3" s="1"/>
  <c r="N11" i="3"/>
  <c r="O11" i="3" s="1"/>
  <c r="N13" i="3"/>
  <c r="O13" i="3" s="1"/>
  <c r="N24" i="3"/>
  <c r="O24" i="3" s="1"/>
  <c r="N25" i="3"/>
  <c r="O25" i="3" s="1"/>
  <c r="N9" i="3"/>
  <c r="O9" i="3" s="1"/>
  <c r="N20" i="3"/>
  <c r="O20" i="3" s="1"/>
  <c r="N214" i="3"/>
  <c r="O214" i="3" s="1"/>
  <c r="O21" i="3"/>
  <c r="O26" i="3"/>
  <c r="M7" i="3"/>
  <c r="N7" i="3" s="1"/>
  <c r="J7" i="3"/>
  <c r="O12" i="3"/>
  <c r="O216" i="3"/>
  <c r="N215" i="3"/>
  <c r="O215" i="3" s="1"/>
  <c r="N217" i="3"/>
  <c r="O217" i="3" s="1"/>
  <c r="N218" i="3"/>
  <c r="O218" i="3" s="1"/>
  <c r="N269" i="3"/>
  <c r="O269" i="3" s="1"/>
  <c r="N268" i="3"/>
  <c r="O268" i="3" s="1"/>
  <c r="N271" i="3"/>
  <c r="O271" i="3" s="1"/>
  <c r="O264" i="3"/>
  <c r="N265" i="3"/>
  <c r="O265" i="3" s="1"/>
  <c r="O270" i="3"/>
  <c r="O260" i="3"/>
  <c r="N257" i="3"/>
  <c r="O257" i="3" s="1"/>
  <c r="N266" i="3"/>
  <c r="O266" i="3" s="1"/>
  <c r="N258" i="3"/>
  <c r="O258" i="3" s="1"/>
  <c r="N263" i="3"/>
  <c r="O263" i="3" s="1"/>
  <c r="N254" i="3"/>
  <c r="O254" i="3" s="1"/>
  <c r="N259" i="3"/>
  <c r="O259" i="3" s="1"/>
  <c r="N18" i="3"/>
  <c r="O18" i="3" s="1"/>
  <c r="N189" i="3"/>
  <c r="O189" i="3" s="1"/>
  <c r="O256" i="3"/>
  <c r="N188" i="3"/>
  <c r="O188" i="3" s="1"/>
  <c r="N193" i="3"/>
  <c r="O193" i="3" s="1"/>
  <c r="N206" i="3"/>
  <c r="O206" i="3" s="1"/>
  <c r="N252" i="3"/>
  <c r="O252" i="3" s="1"/>
  <c r="O17" i="3"/>
  <c r="N209" i="3"/>
  <c r="O209" i="3" s="1"/>
  <c r="O253" i="3"/>
  <c r="O251" i="3"/>
  <c r="N207" i="3"/>
  <c r="O207" i="3" s="1"/>
  <c r="N210" i="3"/>
  <c r="O210" i="3" s="1"/>
  <c r="O197" i="3"/>
  <c r="O208" i="3"/>
  <c r="O195" i="3"/>
  <c r="N196" i="3"/>
  <c r="O196" i="3" s="1"/>
  <c r="O191" i="3"/>
  <c r="N194" i="3"/>
  <c r="O194" i="3" s="1"/>
  <c r="N190" i="3"/>
  <c r="O190" i="3" s="1"/>
  <c r="N200" i="3"/>
  <c r="O200" i="3" s="1"/>
  <c r="N201" i="3"/>
  <c r="O201" i="3" s="1"/>
  <c r="N202" i="3"/>
  <c r="O202" i="3" s="1"/>
  <c r="O187" i="3"/>
  <c r="O203" i="3"/>
  <c r="O199" i="3"/>
  <c r="N16" i="3"/>
  <c r="O16" i="3" s="1"/>
  <c r="N15" i="3"/>
  <c r="O15" i="3" s="1"/>
  <c r="K20" i="2"/>
  <c r="O7" i="3" l="1"/>
  <c r="K361" i="3"/>
  <c r="G361" i="3"/>
  <c r="K360" i="3"/>
  <c r="G360" i="3"/>
  <c r="K359" i="3"/>
  <c r="G359" i="3"/>
  <c r="M359" i="3" s="1"/>
  <c r="K358" i="3"/>
  <c r="G358" i="3"/>
  <c r="M358" i="3" s="1"/>
  <c r="K357" i="3"/>
  <c r="G357" i="3"/>
  <c r="M357" i="3" s="1"/>
  <c r="K356" i="3"/>
  <c r="G356" i="3"/>
  <c r="M356" i="3" s="1"/>
  <c r="K355" i="3"/>
  <c r="G355" i="3"/>
  <c r="J355" i="3" s="1"/>
  <c r="K354" i="3"/>
  <c r="G354" i="3"/>
  <c r="J354" i="3" s="1"/>
  <c r="G351" i="3"/>
  <c r="J351" i="3" s="1"/>
  <c r="K350" i="3"/>
  <c r="G350" i="3"/>
  <c r="J350" i="3" s="1"/>
  <c r="K347" i="3"/>
  <c r="E347" i="3"/>
  <c r="G347" i="3" s="1"/>
  <c r="K346" i="3"/>
  <c r="E346" i="3"/>
  <c r="G346" i="3" s="1"/>
  <c r="K345" i="3"/>
  <c r="E345" i="3"/>
  <c r="G345" i="3" s="1"/>
  <c r="K344" i="3"/>
  <c r="E344" i="3"/>
  <c r="G344" i="3" s="1"/>
  <c r="J344" i="3" s="1"/>
  <c r="K343" i="3"/>
  <c r="E343" i="3"/>
  <c r="G343" i="3" s="1"/>
  <c r="K342" i="3"/>
  <c r="G342" i="3"/>
  <c r="K335" i="3"/>
  <c r="G335" i="3"/>
  <c r="J335" i="3" s="1"/>
  <c r="K334" i="3"/>
  <c r="G334" i="3"/>
  <c r="J334" i="3" s="1"/>
  <c r="K333" i="3"/>
  <c r="G333" i="3"/>
  <c r="J333" i="3" s="1"/>
  <c r="K332" i="3"/>
  <c r="G332" i="3"/>
  <c r="J332" i="3" s="1"/>
  <c r="K331" i="3"/>
  <c r="G331" i="3"/>
  <c r="J331" i="3" s="1"/>
  <c r="K330" i="3"/>
  <c r="G330" i="3"/>
  <c r="J330" i="3" s="1"/>
  <c r="K329" i="3"/>
  <c r="G329" i="3"/>
  <c r="K336" i="3"/>
  <c r="G336" i="3"/>
  <c r="K326" i="3"/>
  <c r="G326" i="3"/>
  <c r="K316" i="3"/>
  <c r="E316" i="3"/>
  <c r="G316" i="3" s="1"/>
  <c r="K315" i="3"/>
  <c r="E315" i="3"/>
  <c r="G315" i="3" s="1"/>
  <c r="K314" i="3"/>
  <c r="E314" i="3"/>
  <c r="G314" i="3" s="1"/>
  <c r="K313" i="3"/>
  <c r="E313" i="3"/>
  <c r="G313" i="3" s="1"/>
  <c r="J313" i="3" s="1"/>
  <c r="K312" i="3"/>
  <c r="E312" i="3"/>
  <c r="G312" i="3" s="1"/>
  <c r="K311" i="3"/>
  <c r="G311" i="3"/>
  <c r="K304" i="3"/>
  <c r="G304" i="3"/>
  <c r="K303" i="3"/>
  <c r="G303" i="3"/>
  <c r="K302" i="3"/>
  <c r="G302" i="3"/>
  <c r="M302" i="3" s="1"/>
  <c r="K305" i="3"/>
  <c r="G305" i="3"/>
  <c r="M305" i="3" s="1"/>
  <c r="K301" i="3"/>
  <c r="G301" i="3"/>
  <c r="M301" i="3" s="1"/>
  <c r="K298" i="3"/>
  <c r="G298" i="3"/>
  <c r="M298" i="3" s="1"/>
  <c r="K295" i="3"/>
  <c r="E295" i="3"/>
  <c r="G295" i="3" s="1"/>
  <c r="K294" i="3"/>
  <c r="E294" i="3"/>
  <c r="G294" i="3" s="1"/>
  <c r="K293" i="3"/>
  <c r="E293" i="3"/>
  <c r="G293" i="3" s="1"/>
  <c r="E292" i="3"/>
  <c r="G292" i="3" s="1"/>
  <c r="J292" i="3" s="1"/>
  <c r="G291" i="3"/>
  <c r="J291" i="3" s="1"/>
  <c r="G285" i="3"/>
  <c r="J285" i="3" s="1"/>
  <c r="E284" i="3"/>
  <c r="G284" i="3" s="1"/>
  <c r="K283" i="3"/>
  <c r="E283" i="3"/>
  <c r="G283" i="3" s="1"/>
  <c r="K282" i="3"/>
  <c r="E282" i="3"/>
  <c r="G282" i="3" s="1"/>
  <c r="K281" i="3"/>
  <c r="E281" i="3"/>
  <c r="G281" i="3" s="1"/>
  <c r="J281" i="3" s="1"/>
  <c r="K280" i="3"/>
  <c r="G280" i="3"/>
  <c r="J280" i="3" s="1"/>
  <c r="K267" i="3"/>
  <c r="G267" i="3"/>
  <c r="K261" i="3"/>
  <c r="G261" i="3"/>
  <c r="J261" i="3" s="1"/>
  <c r="K255" i="3"/>
  <c r="G255" i="3"/>
  <c r="K250" i="3"/>
  <c r="G250" i="3"/>
  <c r="J250" i="3" s="1"/>
  <c r="K249" i="3"/>
  <c r="G249" i="3"/>
  <c r="K248" i="3"/>
  <c r="G248" i="3"/>
  <c r="J248" i="3" s="1"/>
  <c r="O243" i="3"/>
  <c r="K241" i="3"/>
  <c r="K240" i="3"/>
  <c r="K239" i="3"/>
  <c r="E239" i="3"/>
  <c r="K238" i="3"/>
  <c r="G238" i="3"/>
  <c r="M238" i="3" s="1"/>
  <c r="K235" i="3"/>
  <c r="G235" i="3"/>
  <c r="M235" i="3" s="1"/>
  <c r="K234" i="3"/>
  <c r="G234" i="3"/>
  <c r="M234" i="3" s="1"/>
  <c r="K233" i="3"/>
  <c r="G233" i="3"/>
  <c r="M233" i="3" s="1"/>
  <c r="K232" i="3"/>
  <c r="G232" i="3"/>
  <c r="J232" i="3" s="1"/>
  <c r="K231" i="3"/>
  <c r="G231" i="3"/>
  <c r="J231" i="3" s="1"/>
  <c r="K230" i="3"/>
  <c r="G230" i="3"/>
  <c r="J230" i="3" s="1"/>
  <c r="K229" i="3"/>
  <c r="G229" i="3"/>
  <c r="J229" i="3" s="1"/>
  <c r="K228" i="3"/>
  <c r="G228" i="3"/>
  <c r="J228" i="3" s="1"/>
  <c r="K227" i="3"/>
  <c r="G227" i="3"/>
  <c r="J227" i="3" s="1"/>
  <c r="K226" i="3"/>
  <c r="G226" i="3"/>
  <c r="J226" i="3" s="1"/>
  <c r="K225" i="3"/>
  <c r="G225" i="3"/>
  <c r="J225" i="3" s="1"/>
  <c r="K224" i="3"/>
  <c r="G224" i="3"/>
  <c r="K213" i="3"/>
  <c r="G213" i="3"/>
  <c r="J213" i="3" s="1"/>
  <c r="K212" i="3"/>
  <c r="G212" i="3"/>
  <c r="K211" i="3"/>
  <c r="G211" i="3"/>
  <c r="J211" i="3" s="1"/>
  <c r="K205" i="3"/>
  <c r="G205" i="3"/>
  <c r="G204" i="3"/>
  <c r="J204" i="3" s="1"/>
  <c r="G198" i="3"/>
  <c r="G192" i="3"/>
  <c r="J192" i="3" s="1"/>
  <c r="G186" i="3"/>
  <c r="G185" i="3"/>
  <c r="J185" i="3" s="1"/>
  <c r="G179" i="3"/>
  <c r="G173" i="3"/>
  <c r="K167" i="3"/>
  <c r="G167" i="3"/>
  <c r="K161" i="3"/>
  <c r="G161" i="3"/>
  <c r="K160" i="3"/>
  <c r="G160" i="3"/>
  <c r="J160" i="3" s="1"/>
  <c r="K159" i="3"/>
  <c r="G159" i="3"/>
  <c r="J159" i="3" s="1"/>
  <c r="K158" i="3"/>
  <c r="G158" i="3"/>
  <c r="J158" i="3" s="1"/>
  <c r="K157" i="3"/>
  <c r="G157" i="3"/>
  <c r="J157" i="3" s="1"/>
  <c r="K154" i="3"/>
  <c r="G154" i="3"/>
  <c r="J154" i="3" s="1"/>
  <c r="K153" i="3"/>
  <c r="E153" i="3"/>
  <c r="G153" i="3" s="1"/>
  <c r="K152" i="3"/>
  <c r="E152" i="3"/>
  <c r="G152" i="3" s="1"/>
  <c r="K151" i="3"/>
  <c r="E151" i="3"/>
  <c r="G151" i="3" s="1"/>
  <c r="K150" i="3"/>
  <c r="E150" i="3"/>
  <c r="G150" i="3" s="1"/>
  <c r="K149" i="3"/>
  <c r="E149" i="3"/>
  <c r="G149" i="3" s="1"/>
  <c r="K148" i="3"/>
  <c r="G148" i="3"/>
  <c r="M148" i="3" s="1"/>
  <c r="K147" i="3"/>
  <c r="E147" i="3"/>
  <c r="G147" i="3" s="1"/>
  <c r="K146" i="3"/>
  <c r="E146" i="3"/>
  <c r="G146" i="3" s="1"/>
  <c r="K145" i="3"/>
  <c r="E145" i="3"/>
  <c r="G145" i="3" s="1"/>
  <c r="K144" i="3"/>
  <c r="E144" i="3"/>
  <c r="G144" i="3" s="1"/>
  <c r="M144" i="3" s="1"/>
  <c r="K143" i="3"/>
  <c r="G143" i="3"/>
  <c r="M143" i="3" s="1"/>
  <c r="K142" i="3"/>
  <c r="G142" i="3"/>
  <c r="J142" i="3" s="1"/>
  <c r="K141" i="3"/>
  <c r="E141" i="3"/>
  <c r="G141" i="3" s="1"/>
  <c r="K140" i="3"/>
  <c r="E140" i="3"/>
  <c r="G140" i="3" s="1"/>
  <c r="K139" i="3"/>
  <c r="E139" i="3"/>
  <c r="G139" i="3" s="1"/>
  <c r="K138" i="3"/>
  <c r="E138" i="3"/>
  <c r="G138" i="3" s="1"/>
  <c r="M138" i="3" s="1"/>
  <c r="K137" i="3"/>
  <c r="E137" i="3"/>
  <c r="G137" i="3" s="1"/>
  <c r="K136" i="3"/>
  <c r="G136" i="3"/>
  <c r="M136" i="3" s="1"/>
  <c r="K133" i="3"/>
  <c r="G133" i="3"/>
  <c r="M133" i="3" s="1"/>
  <c r="K132" i="3"/>
  <c r="G132" i="3"/>
  <c r="K129" i="3"/>
  <c r="E129" i="3"/>
  <c r="G129" i="3" s="1"/>
  <c r="M129" i="3" s="1"/>
  <c r="K128" i="3"/>
  <c r="E128" i="3"/>
  <c r="G128" i="3" s="1"/>
  <c r="K127" i="3"/>
  <c r="E127" i="3"/>
  <c r="G127" i="3" s="1"/>
  <c r="K126" i="3"/>
  <c r="E126" i="3"/>
  <c r="G126" i="3" s="1"/>
  <c r="K125" i="3"/>
  <c r="G125" i="3"/>
  <c r="J125" i="3" s="1"/>
  <c r="K122" i="3"/>
  <c r="G122" i="3"/>
  <c r="M122" i="3" s="1"/>
  <c r="K121" i="3"/>
  <c r="G121" i="3"/>
  <c r="J121" i="3" s="1"/>
  <c r="O115" i="3"/>
  <c r="K113" i="3"/>
  <c r="G113" i="3"/>
  <c r="J113" i="3" s="1"/>
  <c r="K112" i="3"/>
  <c r="G112" i="3"/>
  <c r="J112" i="3" s="1"/>
  <c r="K111" i="3"/>
  <c r="G111" i="3"/>
  <c r="K110" i="3"/>
  <c r="G110" i="3"/>
  <c r="K109" i="3"/>
  <c r="G109" i="3"/>
  <c r="K108" i="3"/>
  <c r="E108" i="3"/>
  <c r="G108" i="3" s="1"/>
  <c r="M108" i="3" s="1"/>
  <c r="K107" i="3"/>
  <c r="G107" i="3"/>
  <c r="K104" i="3"/>
  <c r="G104" i="3"/>
  <c r="J104" i="3" s="1"/>
  <c r="K103" i="3"/>
  <c r="G103" i="3"/>
  <c r="J103" i="3" s="1"/>
  <c r="K102" i="3"/>
  <c r="G102" i="3"/>
  <c r="J102" i="3" s="1"/>
  <c r="K101" i="3"/>
  <c r="G101" i="3"/>
  <c r="K100" i="3"/>
  <c r="G100" i="3"/>
  <c r="K99" i="3"/>
  <c r="G99" i="3"/>
  <c r="K98" i="3"/>
  <c r="G98" i="3"/>
  <c r="K95" i="3"/>
  <c r="G95" i="3"/>
  <c r="K94" i="3"/>
  <c r="G94" i="3"/>
  <c r="K93" i="3"/>
  <c r="G93" i="3"/>
  <c r="K92" i="3"/>
  <c r="G92" i="3"/>
  <c r="K91" i="3"/>
  <c r="G91" i="3"/>
  <c r="K90" i="3"/>
  <c r="G90" i="3"/>
  <c r="K89" i="3"/>
  <c r="G89" i="3"/>
  <c r="K86" i="3"/>
  <c r="G86" i="3"/>
  <c r="K85" i="3"/>
  <c r="G85" i="3"/>
  <c r="K82" i="3"/>
  <c r="G82" i="3"/>
  <c r="K81" i="3"/>
  <c r="G81" i="3"/>
  <c r="J81" i="3" s="1"/>
  <c r="K80" i="3"/>
  <c r="G80" i="3"/>
  <c r="K79" i="3"/>
  <c r="G79" i="3"/>
  <c r="K78" i="3"/>
  <c r="G78" i="3"/>
  <c r="K77" i="3"/>
  <c r="G77" i="3"/>
  <c r="J77" i="3" s="1"/>
  <c r="K76" i="3"/>
  <c r="G76" i="3"/>
  <c r="K73" i="3"/>
  <c r="G73" i="3"/>
  <c r="M73" i="3" s="1"/>
  <c r="K72" i="3"/>
  <c r="G72" i="3"/>
  <c r="K71" i="3"/>
  <c r="G71" i="3"/>
  <c r="J71" i="3" s="1"/>
  <c r="K68" i="3"/>
  <c r="G68" i="3"/>
  <c r="J68" i="3" s="1"/>
  <c r="K67" i="3"/>
  <c r="G67" i="3"/>
  <c r="J67" i="3" s="1"/>
  <c r="K66" i="3"/>
  <c r="G66" i="3"/>
  <c r="J66" i="3" s="1"/>
  <c r="K65" i="3"/>
  <c r="G65" i="3"/>
  <c r="J65" i="3" s="1"/>
  <c r="K62" i="3"/>
  <c r="G62" i="3"/>
  <c r="J62" i="3" s="1"/>
  <c r="K61" i="3"/>
  <c r="G61" i="3"/>
  <c r="J61" i="3" s="1"/>
  <c r="K60" i="3"/>
  <c r="G60" i="3"/>
  <c r="J60" i="3" s="1"/>
  <c r="K59" i="3"/>
  <c r="G59" i="3"/>
  <c r="M59" i="3" s="1"/>
  <c r="K58" i="3"/>
  <c r="G58" i="3"/>
  <c r="M58" i="3" s="1"/>
  <c r="K57" i="3"/>
  <c r="G57" i="3"/>
  <c r="M57" i="3" s="1"/>
  <c r="K56" i="3"/>
  <c r="G56" i="3"/>
  <c r="M56" i="3" s="1"/>
  <c r="K55" i="3"/>
  <c r="G55" i="3"/>
  <c r="M55" i="3" s="1"/>
  <c r="K54" i="3"/>
  <c r="G54" i="3"/>
  <c r="M54" i="3" s="1"/>
  <c r="K51" i="3"/>
  <c r="E51" i="3"/>
  <c r="G51" i="3" s="1"/>
  <c r="K50" i="3"/>
  <c r="E50" i="3"/>
  <c r="G50" i="3" s="1"/>
  <c r="M50" i="3" s="1"/>
  <c r="K49" i="3"/>
  <c r="E49" i="3"/>
  <c r="G49" i="3" s="1"/>
  <c r="K48" i="3"/>
  <c r="E48" i="3"/>
  <c r="G48" i="3" s="1"/>
  <c r="K47" i="3"/>
  <c r="G47" i="3"/>
  <c r="K46" i="3"/>
  <c r="E46" i="3"/>
  <c r="G46" i="3" s="1"/>
  <c r="K45" i="3"/>
  <c r="E45" i="3"/>
  <c r="G45" i="3" s="1"/>
  <c r="K44" i="3"/>
  <c r="E44" i="3"/>
  <c r="G44" i="3" s="1"/>
  <c r="K43" i="3"/>
  <c r="E43" i="3"/>
  <c r="G43" i="3" s="1"/>
  <c r="M43" i="3" s="1"/>
  <c r="K42" i="3"/>
  <c r="E42" i="3"/>
  <c r="G42" i="3" s="1"/>
  <c r="K41" i="3"/>
  <c r="E41" i="3"/>
  <c r="G41" i="3" s="1"/>
  <c r="K40" i="3"/>
  <c r="E40" i="3"/>
  <c r="G40" i="3" s="1"/>
  <c r="K39" i="3"/>
  <c r="G39" i="3"/>
  <c r="J39" i="3" s="1"/>
  <c r="K38" i="3"/>
  <c r="E38" i="3"/>
  <c r="G38" i="3" s="1"/>
  <c r="K37" i="3"/>
  <c r="E37" i="3"/>
  <c r="G37" i="3" s="1"/>
  <c r="K36" i="3"/>
  <c r="E36" i="3"/>
  <c r="G36" i="3" s="1"/>
  <c r="M36" i="3" s="1"/>
  <c r="K35" i="3"/>
  <c r="E35" i="3"/>
  <c r="G35" i="3" s="1"/>
  <c r="K34" i="3"/>
  <c r="G34" i="3"/>
  <c r="K33" i="3"/>
  <c r="G33" i="3"/>
  <c r="K32" i="3"/>
  <c r="E32" i="3"/>
  <c r="G32" i="3" s="1"/>
  <c r="M32" i="3" s="1"/>
  <c r="K31" i="3"/>
  <c r="E31" i="3"/>
  <c r="G31" i="3" s="1"/>
  <c r="K30" i="3"/>
  <c r="E30" i="3"/>
  <c r="G30" i="3" s="1"/>
  <c r="K29" i="3"/>
  <c r="E29" i="3"/>
  <c r="G29" i="3" s="1"/>
  <c r="K28" i="3"/>
  <c r="E28" i="3"/>
  <c r="G28" i="3" s="1"/>
  <c r="M28" i="3" s="1"/>
  <c r="K27" i="3"/>
  <c r="G27" i="3"/>
  <c r="M27" i="3" s="1"/>
  <c r="G19" i="3"/>
  <c r="K14" i="3"/>
  <c r="G14" i="3"/>
  <c r="M19" i="3" l="1"/>
  <c r="N19" i="3" s="1"/>
  <c r="J19" i="3"/>
  <c r="M351" i="3"/>
  <c r="N351" i="3" s="1"/>
  <c r="O351" i="3" s="1"/>
  <c r="N58" i="3"/>
  <c r="M229" i="3"/>
  <c r="N229" i="3" s="1"/>
  <c r="O229" i="3" s="1"/>
  <c r="M160" i="3"/>
  <c r="N160" i="3" s="1"/>
  <c r="O160" i="3" s="1"/>
  <c r="N43" i="3"/>
  <c r="J233" i="3"/>
  <c r="J234" i="3"/>
  <c r="J235" i="3"/>
  <c r="J238" i="3"/>
  <c r="J298" i="3"/>
  <c r="J301" i="3"/>
  <c r="J305" i="3"/>
  <c r="J302" i="3"/>
  <c r="J27" i="3"/>
  <c r="M71" i="3"/>
  <c r="N71" i="3" s="1"/>
  <c r="O71" i="3" s="1"/>
  <c r="M104" i="3"/>
  <c r="N104" i="3" s="1"/>
  <c r="O104" i="3" s="1"/>
  <c r="M113" i="3"/>
  <c r="N113" i="3" s="1"/>
  <c r="O113" i="3" s="1"/>
  <c r="M121" i="3"/>
  <c r="N121" i="3" s="1"/>
  <c r="O121" i="3" s="1"/>
  <c r="M142" i="3"/>
  <c r="N142" i="3" s="1"/>
  <c r="O142" i="3" s="1"/>
  <c r="J148" i="3"/>
  <c r="M159" i="3"/>
  <c r="N159" i="3" s="1"/>
  <c r="O159" i="3" s="1"/>
  <c r="M334" i="3"/>
  <c r="N334" i="3" s="1"/>
  <c r="O334" i="3" s="1"/>
  <c r="J55" i="3"/>
  <c r="N57" i="3"/>
  <c r="M66" i="3"/>
  <c r="N66" i="3" s="1"/>
  <c r="O66" i="3" s="1"/>
  <c r="M103" i="3"/>
  <c r="N103" i="3" s="1"/>
  <c r="O103" i="3" s="1"/>
  <c r="M112" i="3"/>
  <c r="N112" i="3" s="1"/>
  <c r="O112" i="3" s="1"/>
  <c r="M125" i="3"/>
  <c r="N125" i="3" s="1"/>
  <c r="O125" i="3" s="1"/>
  <c r="M232" i="3"/>
  <c r="N232" i="3" s="1"/>
  <c r="O232" i="3" s="1"/>
  <c r="M280" i="3"/>
  <c r="N280" i="3" s="1"/>
  <c r="O280" i="3" s="1"/>
  <c r="M65" i="3"/>
  <c r="N65" i="3" s="1"/>
  <c r="O65" i="3" s="1"/>
  <c r="M158" i="3"/>
  <c r="N158" i="3" s="1"/>
  <c r="O158" i="3" s="1"/>
  <c r="M228" i="3"/>
  <c r="N228" i="3" s="1"/>
  <c r="O228" i="3" s="1"/>
  <c r="M333" i="3"/>
  <c r="N333" i="3" s="1"/>
  <c r="O333" i="3" s="1"/>
  <c r="M225" i="3"/>
  <c r="N225" i="3" s="1"/>
  <c r="O225" i="3" s="1"/>
  <c r="N235" i="3"/>
  <c r="N305" i="3"/>
  <c r="M330" i="3"/>
  <c r="N330" i="3" s="1"/>
  <c r="O330" i="3" s="1"/>
  <c r="M354" i="3"/>
  <c r="N354" i="3" s="1"/>
  <c r="O354" i="3" s="1"/>
  <c r="J54" i="3"/>
  <c r="J133" i="3"/>
  <c r="J136" i="3"/>
  <c r="J356" i="3"/>
  <c r="J357" i="3"/>
  <c r="J358" i="3"/>
  <c r="J359" i="3"/>
  <c r="N27" i="3"/>
  <c r="J28" i="3"/>
  <c r="M39" i="3"/>
  <c r="N39" i="3" s="1"/>
  <c r="O39" i="3" s="1"/>
  <c r="J57" i="3"/>
  <c r="N59" i="3"/>
  <c r="M62" i="3"/>
  <c r="N62" i="3" s="1"/>
  <c r="O62" i="3" s="1"/>
  <c r="M68" i="3"/>
  <c r="N68" i="3" s="1"/>
  <c r="O68" i="3" s="1"/>
  <c r="M77" i="3"/>
  <c r="N77" i="3" s="1"/>
  <c r="O77" i="3" s="1"/>
  <c r="M102" i="3"/>
  <c r="N102" i="3" s="1"/>
  <c r="O102" i="3" s="1"/>
  <c r="N122" i="3"/>
  <c r="N138" i="3"/>
  <c r="M157" i="3"/>
  <c r="N157" i="3" s="1"/>
  <c r="O157" i="3" s="1"/>
  <c r="M227" i="3"/>
  <c r="N227" i="3" s="1"/>
  <c r="O227" i="3" s="1"/>
  <c r="M231" i="3"/>
  <c r="N231" i="3" s="1"/>
  <c r="O231" i="3" s="1"/>
  <c r="M332" i="3"/>
  <c r="N332" i="3" s="1"/>
  <c r="O332" i="3" s="1"/>
  <c r="M350" i="3"/>
  <c r="N350" i="3" s="1"/>
  <c r="O350" i="3" s="1"/>
  <c r="N358" i="3"/>
  <c r="N56" i="3"/>
  <c r="M67" i="3"/>
  <c r="N67" i="3" s="1"/>
  <c r="O67" i="3" s="1"/>
  <c r="M81" i="3"/>
  <c r="N81" i="3" s="1"/>
  <c r="O81" i="3" s="1"/>
  <c r="N108" i="3"/>
  <c r="M154" i="3"/>
  <c r="N154" i="3" s="1"/>
  <c r="O154" i="3" s="1"/>
  <c r="M226" i="3"/>
  <c r="N226" i="3" s="1"/>
  <c r="O226" i="3" s="1"/>
  <c r="M230" i="3"/>
  <c r="N230" i="3" s="1"/>
  <c r="O230" i="3" s="1"/>
  <c r="M331" i="3"/>
  <c r="N331" i="3" s="1"/>
  <c r="O331" i="3" s="1"/>
  <c r="M335" i="3"/>
  <c r="N335" i="3" s="1"/>
  <c r="O335" i="3" s="1"/>
  <c r="M355" i="3"/>
  <c r="N355" i="3" s="1"/>
  <c r="O355" i="3" s="1"/>
  <c r="J30" i="3"/>
  <c r="M30" i="3"/>
  <c r="N30" i="3" s="1"/>
  <c r="M161" i="3"/>
  <c r="N161" i="3" s="1"/>
  <c r="J161" i="3"/>
  <c r="M360" i="3"/>
  <c r="N360" i="3" s="1"/>
  <c r="J360" i="3"/>
  <c r="J56" i="3"/>
  <c r="J73" i="3"/>
  <c r="M86" i="3"/>
  <c r="N86" i="3" s="1"/>
  <c r="J86" i="3"/>
  <c r="M90" i="3"/>
  <c r="N90" i="3" s="1"/>
  <c r="J90" i="3"/>
  <c r="M92" i="3"/>
  <c r="N92" i="3" s="1"/>
  <c r="J92" i="3"/>
  <c r="M94" i="3"/>
  <c r="N94" i="3" s="1"/>
  <c r="J94" i="3"/>
  <c r="M98" i="3"/>
  <c r="N98" i="3" s="1"/>
  <c r="J98" i="3"/>
  <c r="M100" i="3"/>
  <c r="N100" i="3" s="1"/>
  <c r="J100" i="3"/>
  <c r="E240" i="3"/>
  <c r="G240" i="3" s="1"/>
  <c r="E241" i="3"/>
  <c r="G241" i="3" s="1"/>
  <c r="J241" i="3" s="1"/>
  <c r="G239" i="3"/>
  <c r="J239" i="3" s="1"/>
  <c r="M303" i="3"/>
  <c r="N303" i="3" s="1"/>
  <c r="J303" i="3"/>
  <c r="M336" i="3"/>
  <c r="N336" i="3" s="1"/>
  <c r="J336" i="3"/>
  <c r="J59" i="3"/>
  <c r="M61" i="3"/>
  <c r="N61" i="3" s="1"/>
  <c r="O61" i="3" s="1"/>
  <c r="M79" i="3"/>
  <c r="N79" i="3" s="1"/>
  <c r="J79" i="3"/>
  <c r="M224" i="3"/>
  <c r="N224" i="3" s="1"/>
  <c r="J224" i="3"/>
  <c r="M361" i="3"/>
  <c r="N361" i="3" s="1"/>
  <c r="J361" i="3"/>
  <c r="J58" i="3"/>
  <c r="M60" i="3"/>
  <c r="N60" i="3" s="1"/>
  <c r="O60" i="3" s="1"/>
  <c r="M85" i="3"/>
  <c r="N85" i="3" s="1"/>
  <c r="J85" i="3"/>
  <c r="M89" i="3"/>
  <c r="N89" i="3" s="1"/>
  <c r="J89" i="3"/>
  <c r="M91" i="3"/>
  <c r="N91" i="3" s="1"/>
  <c r="J91" i="3"/>
  <c r="M93" i="3"/>
  <c r="N93" i="3" s="1"/>
  <c r="J93" i="3"/>
  <c r="M95" i="3"/>
  <c r="N95" i="3" s="1"/>
  <c r="J95" i="3"/>
  <c r="M99" i="3"/>
  <c r="N99" i="3" s="1"/>
  <c r="J99" i="3"/>
  <c r="M101" i="3"/>
  <c r="N101" i="3" s="1"/>
  <c r="J101" i="3"/>
  <c r="M304" i="3"/>
  <c r="N304" i="3" s="1"/>
  <c r="J304" i="3"/>
  <c r="M326" i="3"/>
  <c r="N326" i="3" s="1"/>
  <c r="J326" i="3"/>
  <c r="M329" i="3"/>
  <c r="N329" i="3" s="1"/>
  <c r="J329" i="3"/>
  <c r="N54" i="3"/>
  <c r="N55" i="3"/>
  <c r="N136" i="3"/>
  <c r="N148" i="3"/>
  <c r="N234" i="3"/>
  <c r="N238" i="3"/>
  <c r="N298" i="3"/>
  <c r="N301" i="3"/>
  <c r="N302" i="3"/>
  <c r="N357" i="3"/>
  <c r="N359" i="3"/>
  <c r="N32" i="3"/>
  <c r="J122" i="3"/>
  <c r="N129" i="3"/>
  <c r="M47" i="3"/>
  <c r="N47" i="3" s="1"/>
  <c r="J47" i="3"/>
  <c r="J76" i="3"/>
  <c r="M76" i="3"/>
  <c r="N76" i="3" s="1"/>
  <c r="M111" i="3"/>
  <c r="N111" i="3" s="1"/>
  <c r="J111" i="3"/>
  <c r="J132" i="3"/>
  <c r="M132" i="3"/>
  <c r="N132" i="3" s="1"/>
  <c r="M34" i="3"/>
  <c r="N34" i="3" s="1"/>
  <c r="J34" i="3"/>
  <c r="M72" i="3"/>
  <c r="N72" i="3" s="1"/>
  <c r="J72" i="3"/>
  <c r="M82" i="3"/>
  <c r="N82" i="3" s="1"/>
  <c r="J82" i="3"/>
  <c r="J107" i="3"/>
  <c r="M107" i="3"/>
  <c r="N107" i="3" s="1"/>
  <c r="J108" i="3"/>
  <c r="J110" i="3"/>
  <c r="M110" i="3"/>
  <c r="N110" i="3" s="1"/>
  <c r="J14" i="3"/>
  <c r="M14" i="3"/>
  <c r="N14" i="3" s="1"/>
  <c r="J33" i="3"/>
  <c r="M33" i="3"/>
  <c r="N33" i="3" s="1"/>
  <c r="N36" i="3"/>
  <c r="N73" i="3"/>
  <c r="J80" i="3"/>
  <c r="M80" i="3"/>
  <c r="N80" i="3" s="1"/>
  <c r="M109" i="3"/>
  <c r="N109" i="3" s="1"/>
  <c r="J109" i="3"/>
  <c r="N143" i="3"/>
  <c r="J173" i="3"/>
  <c r="M173" i="3"/>
  <c r="N173" i="3" s="1"/>
  <c r="N50" i="3"/>
  <c r="M78" i="3"/>
  <c r="N78" i="3" s="1"/>
  <c r="J78" i="3"/>
  <c r="M198" i="3"/>
  <c r="N198" i="3" s="1"/>
  <c r="J198" i="3"/>
  <c r="M285" i="3"/>
  <c r="N285" i="3" s="1"/>
  <c r="M311" i="3"/>
  <c r="N311" i="3" s="1"/>
  <c r="J311" i="3"/>
  <c r="N28" i="3"/>
  <c r="M167" i="3"/>
  <c r="N167" i="3" s="1"/>
  <c r="J167" i="3"/>
  <c r="M205" i="3"/>
  <c r="N205" i="3" s="1"/>
  <c r="J205" i="3"/>
  <c r="M249" i="3"/>
  <c r="N249" i="3" s="1"/>
  <c r="J249" i="3"/>
  <c r="M179" i="3"/>
  <c r="N179" i="3" s="1"/>
  <c r="J179" i="3"/>
  <c r="M212" i="3"/>
  <c r="N212" i="3" s="1"/>
  <c r="J212" i="3"/>
  <c r="M255" i="3"/>
  <c r="N255" i="3" s="1"/>
  <c r="J255" i="3"/>
  <c r="M342" i="3"/>
  <c r="N342" i="3" s="1"/>
  <c r="J342" i="3"/>
  <c r="N133" i="3"/>
  <c r="J143" i="3"/>
  <c r="N144" i="3"/>
  <c r="M186" i="3"/>
  <c r="N186" i="3" s="1"/>
  <c r="J186" i="3"/>
  <c r="N233" i="3"/>
  <c r="M267" i="3"/>
  <c r="N267" i="3" s="1"/>
  <c r="J267" i="3"/>
  <c r="N356" i="3"/>
  <c r="M185" i="3"/>
  <c r="N185" i="3" s="1"/>
  <c r="O185" i="3" s="1"/>
  <c r="M192" i="3"/>
  <c r="N192" i="3" s="1"/>
  <c r="O192" i="3" s="1"/>
  <c r="M204" i="3"/>
  <c r="N204" i="3" s="1"/>
  <c r="O204" i="3" s="1"/>
  <c r="M211" i="3"/>
  <c r="N211" i="3" s="1"/>
  <c r="O211" i="3" s="1"/>
  <c r="M213" i="3"/>
  <c r="N213" i="3" s="1"/>
  <c r="O213" i="3" s="1"/>
  <c r="M248" i="3"/>
  <c r="N248" i="3" s="1"/>
  <c r="O248" i="3" s="1"/>
  <c r="M250" i="3"/>
  <c r="N250" i="3" s="1"/>
  <c r="O250" i="3" s="1"/>
  <c r="M261" i="3"/>
  <c r="N261" i="3" s="1"/>
  <c r="O261" i="3" s="1"/>
  <c r="M291" i="3"/>
  <c r="N291" i="3" s="1"/>
  <c r="O291" i="3" s="1"/>
  <c r="M29" i="3"/>
  <c r="N29" i="3" s="1"/>
  <c r="J29" i="3"/>
  <c r="M35" i="3"/>
  <c r="N35" i="3" s="1"/>
  <c r="J35" i="3"/>
  <c r="J44" i="3"/>
  <c r="M44" i="3"/>
  <c r="N44" i="3" s="1"/>
  <c r="M46" i="3"/>
  <c r="N46" i="3" s="1"/>
  <c r="J46" i="3"/>
  <c r="J48" i="3"/>
  <c r="M48" i="3"/>
  <c r="N48" i="3" s="1"/>
  <c r="J127" i="3"/>
  <c r="M127" i="3"/>
  <c r="N127" i="3" s="1"/>
  <c r="J140" i="3"/>
  <c r="M140" i="3"/>
  <c r="N140" i="3" s="1"/>
  <c r="M283" i="3"/>
  <c r="N283" i="3" s="1"/>
  <c r="J283" i="3"/>
  <c r="J37" i="3"/>
  <c r="M37" i="3"/>
  <c r="N37" i="3" s="1"/>
  <c r="J41" i="3"/>
  <c r="M41" i="3"/>
  <c r="N41" i="3" s="1"/>
  <c r="M137" i="3"/>
  <c r="N137" i="3" s="1"/>
  <c r="J137" i="3"/>
  <c r="J146" i="3"/>
  <c r="M146" i="3"/>
  <c r="N146" i="3" s="1"/>
  <c r="M150" i="3"/>
  <c r="N150" i="3" s="1"/>
  <c r="J150" i="3"/>
  <c r="J152" i="3"/>
  <c r="M152" i="3"/>
  <c r="N152" i="3" s="1"/>
  <c r="M294" i="3"/>
  <c r="N294" i="3" s="1"/>
  <c r="J294" i="3"/>
  <c r="M315" i="3"/>
  <c r="N315" i="3" s="1"/>
  <c r="J315" i="3"/>
  <c r="M346" i="3"/>
  <c r="N346" i="3" s="1"/>
  <c r="J346" i="3"/>
  <c r="J31" i="3"/>
  <c r="M31" i="3"/>
  <c r="N31" i="3" s="1"/>
  <c r="J32" i="3"/>
  <c r="J45" i="3"/>
  <c r="M45" i="3"/>
  <c r="N45" i="3" s="1"/>
  <c r="M49" i="3"/>
  <c r="N49" i="3" s="1"/>
  <c r="J49" i="3"/>
  <c r="J126" i="3"/>
  <c r="M126" i="3"/>
  <c r="N126" i="3" s="1"/>
  <c r="M128" i="3"/>
  <c r="N128" i="3" s="1"/>
  <c r="J128" i="3"/>
  <c r="J139" i="3"/>
  <c r="M139" i="3"/>
  <c r="N139" i="3" s="1"/>
  <c r="M141" i="3"/>
  <c r="N141" i="3" s="1"/>
  <c r="J141" i="3"/>
  <c r="J282" i="3"/>
  <c r="M282" i="3"/>
  <c r="N282" i="3" s="1"/>
  <c r="M284" i="3"/>
  <c r="N284" i="3" s="1"/>
  <c r="J284" i="3"/>
  <c r="M312" i="3"/>
  <c r="N312" i="3" s="1"/>
  <c r="J312" i="3"/>
  <c r="M343" i="3"/>
  <c r="N343" i="3" s="1"/>
  <c r="J343" i="3"/>
  <c r="J38" i="3"/>
  <c r="M38" i="3"/>
  <c r="N38" i="3" s="1"/>
  <c r="J40" i="3"/>
  <c r="M40" i="3"/>
  <c r="N40" i="3" s="1"/>
  <c r="M42" i="3"/>
  <c r="N42" i="3" s="1"/>
  <c r="J42" i="3"/>
  <c r="J51" i="3"/>
  <c r="M51" i="3"/>
  <c r="N51" i="3" s="1"/>
  <c r="J145" i="3"/>
  <c r="M145" i="3"/>
  <c r="N145" i="3" s="1"/>
  <c r="M147" i="3"/>
  <c r="N147" i="3" s="1"/>
  <c r="J147" i="3"/>
  <c r="J149" i="3"/>
  <c r="M149" i="3"/>
  <c r="N149" i="3" s="1"/>
  <c r="M151" i="3"/>
  <c r="N151" i="3" s="1"/>
  <c r="J151" i="3"/>
  <c r="J153" i="3"/>
  <c r="M153" i="3"/>
  <c r="N153" i="3" s="1"/>
  <c r="J293" i="3"/>
  <c r="M293" i="3"/>
  <c r="N293" i="3" s="1"/>
  <c r="M295" i="3"/>
  <c r="N295" i="3" s="1"/>
  <c r="J295" i="3"/>
  <c r="J314" i="3"/>
  <c r="M314" i="3"/>
  <c r="N314" i="3" s="1"/>
  <c r="M316" i="3"/>
  <c r="N316" i="3" s="1"/>
  <c r="J316" i="3"/>
  <c r="J345" i="3"/>
  <c r="M345" i="3"/>
  <c r="N345" i="3" s="1"/>
  <c r="M347" i="3"/>
  <c r="N347" i="3" s="1"/>
  <c r="J347" i="3"/>
  <c r="J36" i="3"/>
  <c r="J43" i="3"/>
  <c r="J50" i="3"/>
  <c r="J129" i="3"/>
  <c r="J138" i="3"/>
  <c r="J144" i="3"/>
  <c r="M281" i="3"/>
  <c r="N281" i="3" s="1"/>
  <c r="O281" i="3" s="1"/>
  <c r="M292" i="3"/>
  <c r="N292" i="3" s="1"/>
  <c r="O292" i="3" s="1"/>
  <c r="M313" i="3"/>
  <c r="N313" i="3" s="1"/>
  <c r="O313" i="3" s="1"/>
  <c r="M344" i="3"/>
  <c r="N344" i="3" s="1"/>
  <c r="O344" i="3" s="1"/>
  <c r="O43" i="3" l="1"/>
  <c r="O235" i="3"/>
  <c r="O360" i="3"/>
  <c r="O86" i="3"/>
  <c r="O205" i="3"/>
  <c r="O329" i="3"/>
  <c r="O304" i="3"/>
  <c r="O99" i="3"/>
  <c r="O93" i="3"/>
  <c r="O89" i="3"/>
  <c r="O233" i="3"/>
  <c r="O301" i="3"/>
  <c r="M239" i="3"/>
  <c r="N239" i="3" s="1"/>
  <c r="O239" i="3" s="1"/>
  <c r="O58" i="3"/>
  <c r="O305" i="3"/>
  <c r="O19" i="3"/>
  <c r="O148" i="3"/>
  <c r="O143" i="3"/>
  <c r="O234" i="3"/>
  <c r="O55" i="3"/>
  <c r="O98" i="3"/>
  <c r="O92" i="3"/>
  <c r="O359" i="3"/>
  <c r="O54" i="3"/>
  <c r="O85" i="3"/>
  <c r="O57" i="3"/>
  <c r="O302" i="3"/>
  <c r="O129" i="3"/>
  <c r="M241" i="3"/>
  <c r="N241" i="3" s="1"/>
  <c r="O241" i="3" s="1"/>
  <c r="O285" i="3"/>
  <c r="O122" i="3"/>
  <c r="O298" i="3"/>
  <c r="O303" i="3"/>
  <c r="O358" i="3"/>
  <c r="O27" i="3"/>
  <c r="O356" i="3"/>
  <c r="O357" i="3"/>
  <c r="O238" i="3"/>
  <c r="O56" i="3"/>
  <c r="O249" i="3"/>
  <c r="O28" i="3"/>
  <c r="O111" i="3"/>
  <c r="O136" i="3"/>
  <c r="O133" i="3"/>
  <c r="O212" i="3"/>
  <c r="O73" i="3"/>
  <c r="O108" i="3"/>
  <c r="O95" i="3"/>
  <c r="O91" i="3"/>
  <c r="O100" i="3"/>
  <c r="O94" i="3"/>
  <c r="O90" i="3"/>
  <c r="O198" i="3"/>
  <c r="O14" i="3"/>
  <c r="O59" i="3"/>
  <c r="O138" i="3"/>
  <c r="O36" i="3"/>
  <c r="O336" i="3"/>
  <c r="O326" i="3"/>
  <c r="O179" i="3"/>
  <c r="O80" i="3"/>
  <c r="O132" i="3"/>
  <c r="O76" i="3"/>
  <c r="J240" i="3"/>
  <c r="I245" i="3" s="1"/>
  <c r="D8" i="2" s="1"/>
  <c r="M240" i="3"/>
  <c r="N240" i="3" s="1"/>
  <c r="O34" i="3"/>
  <c r="O144" i="3"/>
  <c r="O345" i="3"/>
  <c r="O314" i="3"/>
  <c r="O293" i="3"/>
  <c r="O51" i="3"/>
  <c r="O40" i="3"/>
  <c r="I307" i="3"/>
  <c r="D10" i="2" s="1"/>
  <c r="F10" i="2" s="1"/>
  <c r="I163" i="3"/>
  <c r="D6" i="2" s="1"/>
  <c r="F6" i="2" s="1"/>
  <c r="O41" i="3"/>
  <c r="O267" i="3"/>
  <c r="O72" i="3"/>
  <c r="O79" i="3"/>
  <c r="O161" i="3"/>
  <c r="O30" i="3"/>
  <c r="O32" i="3"/>
  <c r="O101" i="3"/>
  <c r="O361" i="3"/>
  <c r="O224" i="3"/>
  <c r="O315" i="3"/>
  <c r="O46" i="3"/>
  <c r="O35" i="3"/>
  <c r="L276" i="3"/>
  <c r="I363" i="3"/>
  <c r="D12" i="2" s="1"/>
  <c r="F12" i="2" s="1"/>
  <c r="L307" i="3"/>
  <c r="E10" i="2" s="1"/>
  <c r="O107" i="3"/>
  <c r="L220" i="3"/>
  <c r="O153" i="3"/>
  <c r="O149" i="3"/>
  <c r="O145" i="3"/>
  <c r="O343" i="3"/>
  <c r="O284" i="3"/>
  <c r="O141" i="3"/>
  <c r="O128" i="3"/>
  <c r="O49" i="3"/>
  <c r="O31" i="3"/>
  <c r="O48" i="3"/>
  <c r="O44" i="3"/>
  <c r="I117" i="3"/>
  <c r="D5" i="2" s="1"/>
  <c r="L363" i="3"/>
  <c r="E12" i="2" s="1"/>
  <c r="G12" i="2" s="1"/>
  <c r="O342" i="3"/>
  <c r="O255" i="3"/>
  <c r="O78" i="3"/>
  <c r="O173" i="3"/>
  <c r="O109" i="3"/>
  <c r="O110" i="3"/>
  <c r="O82" i="3"/>
  <c r="O47" i="3"/>
  <c r="L338" i="3"/>
  <c r="E11" i="2" s="1"/>
  <c r="G11" i="2" s="1"/>
  <c r="O311" i="3"/>
  <c r="O50" i="3"/>
  <c r="O282" i="3"/>
  <c r="O139" i="3"/>
  <c r="O126" i="3"/>
  <c r="O45" i="3"/>
  <c r="O37" i="3"/>
  <c r="I276" i="3"/>
  <c r="D9" i="2" s="1"/>
  <c r="O186" i="3"/>
  <c r="O167" i="3"/>
  <c r="I220" i="3"/>
  <c r="D7" i="2" s="1"/>
  <c r="I338" i="3"/>
  <c r="D11" i="2" s="1"/>
  <c r="F11" i="2" s="1"/>
  <c r="O33" i="3"/>
  <c r="L163" i="3"/>
  <c r="E6" i="2" s="1"/>
  <c r="G6" i="2" s="1"/>
  <c r="L117" i="3"/>
  <c r="E5" i="2" s="1"/>
  <c r="O140" i="3"/>
  <c r="O347" i="3"/>
  <c r="O295" i="3"/>
  <c r="O312" i="3"/>
  <c r="O346" i="3"/>
  <c r="O294" i="3"/>
  <c r="O150" i="3"/>
  <c r="O29" i="3"/>
  <c r="O38" i="3"/>
  <c r="O316" i="3"/>
  <c r="O42" i="3"/>
  <c r="O151" i="3"/>
  <c r="O147" i="3"/>
  <c r="O152" i="3"/>
  <c r="O146" i="3"/>
  <c r="O137" i="3"/>
  <c r="O283" i="3"/>
  <c r="O127" i="3"/>
  <c r="F7" i="2" l="1"/>
  <c r="D14" i="2"/>
  <c r="N366" i="3"/>
  <c r="P276" i="3"/>
  <c r="N365" i="3"/>
  <c r="N367" i="3"/>
  <c r="K18" i="2" s="1"/>
  <c r="K19" i="2" s="1"/>
  <c r="L245" i="3"/>
  <c r="E8" i="2" s="1"/>
  <c r="G8" i="2" s="1"/>
  <c r="H12" i="2"/>
  <c r="I12" i="2" s="1"/>
  <c r="P163" i="3"/>
  <c r="E18" i="2"/>
  <c r="E19" i="2" s="1"/>
  <c r="P307" i="3"/>
  <c r="P363" i="3"/>
  <c r="O240" i="3"/>
  <c r="P245" i="3" s="1"/>
  <c r="F5" i="2"/>
  <c r="P117" i="3"/>
  <c r="F9" i="2"/>
  <c r="P338" i="3"/>
  <c r="E9" i="2"/>
  <c r="G9" i="2" s="1"/>
  <c r="G10" i="2"/>
  <c r="H10" i="2" s="1"/>
  <c r="H6" i="2"/>
  <c r="H11" i="2"/>
  <c r="F8" i="2"/>
  <c r="P220" i="3"/>
  <c r="E7" i="2"/>
  <c r="G5" i="2"/>
  <c r="J12" i="2" l="1"/>
  <c r="K12" i="2" s="1"/>
  <c r="F14" i="2"/>
  <c r="J11" i="2"/>
  <c r="I11" i="2"/>
  <c r="J6" i="2"/>
  <c r="I6" i="2"/>
  <c r="H9" i="2"/>
  <c r="H8" i="2"/>
  <c r="I10" i="2"/>
  <c r="J10" i="2"/>
  <c r="G7" i="2"/>
  <c r="G14" i="2" s="1"/>
  <c r="E14" i="2"/>
  <c r="E21" i="2" s="1"/>
  <c r="E22" i="2" s="1"/>
  <c r="H5" i="2"/>
  <c r="K11" i="2" l="1"/>
  <c r="H7" i="2"/>
  <c r="J7" i="2" s="1"/>
  <c r="K10" i="2"/>
  <c r="K6" i="2"/>
  <c r="E23" i="2"/>
  <c r="E25" i="2" s="1"/>
  <c r="J8" i="2"/>
  <c r="I8" i="2"/>
  <c r="J9" i="2"/>
  <c r="I9" i="2"/>
  <c r="J5" i="2"/>
  <c r="I5" i="2"/>
  <c r="I7" i="2" l="1"/>
  <c r="I14" i="2" s="1"/>
  <c r="H14" i="2"/>
  <c r="K8" i="2"/>
  <c r="J14" i="2"/>
  <c r="K9" i="2"/>
  <c r="E24" i="2"/>
  <c r="E26" i="2" s="1"/>
  <c r="E31" i="2" s="1"/>
  <c r="K5" i="2"/>
  <c r="K7" i="2" l="1"/>
  <c r="K14" i="2" s="1"/>
  <c r="E27" i="2"/>
  <c r="E33" i="2" s="1"/>
  <c r="N1" i="3" s="1"/>
</calcChain>
</file>

<file path=xl/sharedStrings.xml><?xml version="1.0" encoding="utf-8"?>
<sst xmlns="http://schemas.openxmlformats.org/spreadsheetml/2006/main" count="714" uniqueCount="294">
  <si>
    <t>SR.
NO.</t>
  </si>
  <si>
    <t>DESCRIPTION</t>
  </si>
  <si>
    <t>QUANTITY</t>
  </si>
  <si>
    <t>WASTAGE</t>
  </si>
  <si>
    <t>QTY WITH
WASTAGE</t>
  </si>
  <si>
    <t>UNIT</t>
  </si>
  <si>
    <t>MATERIAL 
COST</t>
  </si>
  <si>
    <t>MANHOURS COST</t>
  </si>
  <si>
    <t>CONDUITS</t>
  </si>
  <si>
    <t>FT</t>
  </si>
  <si>
    <t>CONDUCTORS</t>
  </si>
  <si>
    <t>EA</t>
  </si>
  <si>
    <t xml:space="preserve">TOTAL MATERIAL COST  </t>
  </si>
  <si>
    <t>SCOPE OF ESTIMATE:</t>
  </si>
  <si>
    <t>SUPPLY &amp; INSTALLATION</t>
  </si>
  <si>
    <t>UNIT MANHOURS</t>
  </si>
  <si>
    <t>TOTAL MANHOURS</t>
  </si>
  <si>
    <t>DEVICES</t>
  </si>
  <si>
    <t>DISTRIBUTION</t>
  </si>
  <si>
    <t xml:space="preserve">GROUNDING </t>
  </si>
  <si>
    <t>DISCONNECT SWITCHES</t>
  </si>
  <si>
    <t>EQUIPMENT</t>
  </si>
  <si>
    <t>WIRING DEVICES</t>
  </si>
  <si>
    <t>LIGHTING FIXTURES</t>
  </si>
  <si>
    <t>EXCLUSIONS</t>
  </si>
  <si>
    <t>TEMPORARY POWER IS NOT INCLUDED.</t>
  </si>
  <si>
    <t>LIGHTING CONTROLS</t>
  </si>
  <si>
    <t>BRANCH WIRING</t>
  </si>
  <si>
    <t>POWER FEEDERS</t>
  </si>
  <si>
    <t>TOTAL
COST</t>
  </si>
  <si>
    <t>TOTAL BID PRICE</t>
  </si>
  <si>
    <t xml:space="preserve">TOTAL LABOR COST  </t>
  </si>
  <si>
    <t>UNIT MATERIAL
COST</t>
  </si>
  <si>
    <t>DWG. NO.</t>
  </si>
  <si>
    <t>DETAIL NO.</t>
  </si>
  <si>
    <t xml:space="preserve">TOTAL LABOR HOURS  </t>
  </si>
  <si>
    <t>SR. NO.</t>
  </si>
  <si>
    <t>SUBTOTAL MATERIAL</t>
  </si>
  <si>
    <t>SUBTOTAL LABOR</t>
  </si>
  <si>
    <t>QUOTATION FOR SWITCHGEAR</t>
  </si>
  <si>
    <t>BREAKERS</t>
  </si>
  <si>
    <t>PANELS</t>
  </si>
  <si>
    <t>QUOTATION FOR LIGHTING FIXTURES</t>
  </si>
  <si>
    <t>COMPOSITE LABOR RATE</t>
  </si>
  <si>
    <t>MANHOUR RATE</t>
  </si>
  <si>
    <t>INCLUSIONS</t>
  </si>
  <si>
    <t>THE ESTIMATE INCLUDES THE INFORMATION SHOWN ONLY ON THE DRAWINGS</t>
  </si>
  <si>
    <t>INCLUDES LABOR HOURS FOR INSTALLATION FOR ALL ITEMS</t>
  </si>
  <si>
    <t>EXCLUDES ANY SAW CUTTING OF CONCRETE</t>
  </si>
  <si>
    <t>EXCLUDES ANY PATCHING OF CONCRETE</t>
  </si>
  <si>
    <t>CONTROL CABLES, COAX &amp; CAT5 CABLING FOR THE DATA SYSTEM IS EXCLUDED</t>
  </si>
  <si>
    <t>VOICE/DATA OUTLETS ARE EXCLUDED</t>
  </si>
  <si>
    <t>NOTES</t>
  </si>
  <si>
    <t xml:space="preserve">LIGHTING FIXTURES </t>
  </si>
  <si>
    <t>FIRESTOPPING IS NOT INCLUDED FOR WALL PENETRATION.</t>
  </si>
  <si>
    <t>PERMITS AND FEES</t>
  </si>
  <si>
    <t>CONDUCTORS - LIGHTING</t>
  </si>
  <si>
    <t>CONDUITS - POWER</t>
  </si>
  <si>
    <t>CONDUCTORS - POWER</t>
  </si>
  <si>
    <t>MISCELLANEOUS</t>
  </si>
  <si>
    <t>BID SUMMARY</t>
  </si>
  <si>
    <t>MATERIAL COST</t>
  </si>
  <si>
    <t>LABOR COST</t>
  </si>
  <si>
    <t>MATERIAL TAX</t>
  </si>
  <si>
    <t>LABOR TAX</t>
  </si>
  <si>
    <t>TOTAL COST</t>
  </si>
  <si>
    <t>OVERHEADS</t>
  </si>
  <si>
    <t>PROFITS</t>
  </si>
  <si>
    <t>TOTAL PRICE</t>
  </si>
  <si>
    <t>TOTALS</t>
  </si>
  <si>
    <t>BID RECAP</t>
  </si>
  <si>
    <t>TOTAL MATERIAL COST</t>
  </si>
  <si>
    <t>TOTAL LABOR COST</t>
  </si>
  <si>
    <t>MATERIAL SALES TAX</t>
  </si>
  <si>
    <t>OVERHEADS @</t>
  </si>
  <si>
    <t>BID SECURITY</t>
  </si>
  <si>
    <t>ALLOWANCES</t>
  </si>
  <si>
    <t>SUB-CONTRACTS</t>
  </si>
  <si>
    <t>BOND PREMIUM</t>
  </si>
  <si>
    <t>JOB EXPENSE</t>
  </si>
  <si>
    <t>TOTAL COST WITH OVERHEADS + PROFIT</t>
  </si>
  <si>
    <t>PROFIT @</t>
  </si>
  <si>
    <t>BASE BID PRICE</t>
  </si>
  <si>
    <t>MAN LOAD</t>
  </si>
  <si>
    <t>MOBILIZATION / DEMOBILIZATION</t>
  </si>
  <si>
    <t>ELECTRICIAN RATE</t>
  </si>
  <si>
    <t>SUPERVISOR RATE</t>
  </si>
  <si>
    <t>UNSKILLED LABOR RATE</t>
  </si>
  <si>
    <t>TOTAL MANHOURS WITH SUPERVISION</t>
  </si>
  <si>
    <t>NUMBER OF MAN-DAYS</t>
  </si>
  <si>
    <t>PREVAILING WAGE RATE</t>
  </si>
  <si>
    <t>N/A</t>
  </si>
  <si>
    <t>MAN-LOADING AND SUPERVISION ANALYSIS</t>
  </si>
  <si>
    <t>INSERT VALUES IN YELLOW HIGHLIGHTED CELLS WHERE APPLICABLE</t>
  </si>
  <si>
    <t>LIGHTING SUPPORTS</t>
  </si>
  <si>
    <t>EQUIPMENT CONNECTIONS</t>
  </si>
  <si>
    <r>
      <rPr>
        <b/>
        <sz val="11"/>
        <color theme="1"/>
        <rFont val="Calibri"/>
        <family val="2"/>
        <scheme val="minor"/>
      </rPr>
      <t>Terms and Conditions/Disclaimer:</t>
    </r>
    <r>
      <rPr>
        <sz val="11"/>
        <color theme="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</si>
  <si>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SPLICE PULLBOX</t>
  </si>
  <si>
    <t>SCOTCHLOCK CONNECTOR</t>
  </si>
  <si>
    <t>COMPRESSION CONNECTOR</t>
  </si>
  <si>
    <r>
      <rPr>
        <b/>
        <sz val="11"/>
        <rFont val="Calibri"/>
        <family val="2"/>
        <scheme val="minor"/>
      </rPr>
      <t>Terms and Conditions/Disclaimer:</t>
    </r>
    <r>
      <rPr>
        <sz val="1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</si>
  <si>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CONDUITS - EQUIPMENT</t>
  </si>
  <si>
    <t>CONDUCTORS - EQUIPMENT</t>
  </si>
  <si>
    <t>PROJECT NAME: WEST DEPTFORD WATER &amp; SEWER OFFICE BUILDING
DATE: 04/08/2024</t>
  </si>
  <si>
    <t>1 1/4"C LFMC</t>
  </si>
  <si>
    <t>#250 THHN</t>
  </si>
  <si>
    <t>#250 XHHW</t>
  </si>
  <si>
    <t>#2 THHN</t>
  </si>
  <si>
    <t>#2 XHHW</t>
  </si>
  <si>
    <t>#4 THHN</t>
  </si>
  <si>
    <t>#4 XHHW</t>
  </si>
  <si>
    <t>#8 THHN</t>
  </si>
  <si>
    <t>#8 XHHW</t>
  </si>
  <si>
    <t>#10 XHHW</t>
  </si>
  <si>
    <t>3/4" X 10' GROUND ROD</t>
  </si>
  <si>
    <t>CAD WELD CONNECTION</t>
  </si>
  <si>
    <t>GROUND LUG</t>
  </si>
  <si>
    <t>60A/3P FUSED DISCONNECT SWITCH NEMA 1</t>
  </si>
  <si>
    <t>100A/3P FUSED DISCONNECT SWITCH/70A TIME DELAY FUSE NEMA 3R</t>
  </si>
  <si>
    <t>400A/3P DISCONNECT SWITCH 208V COLD SEQUENCE SERVICE ENTRANCE</t>
  </si>
  <si>
    <t>20A/1P CIRCUIT BREAKER</t>
  </si>
  <si>
    <t>15A/2P CIRCUIT BREAKER</t>
  </si>
  <si>
    <t>20A/2P CIRCUIT BREAKER</t>
  </si>
  <si>
    <t>30A/2P CIRCUIT BREAKER</t>
  </si>
  <si>
    <t>60A/3P CIRCUIT BREAKER</t>
  </si>
  <si>
    <t>70A/3P CIRCUIT BREAKER</t>
  </si>
  <si>
    <t>400A MAIN CIRCUIT BREAKER</t>
  </si>
  <si>
    <t>PANEL MP, 
600A MCB, 208/120V, 3PH, 4W, 42000AIC RATING, SURFACE MOUNTED</t>
  </si>
  <si>
    <t xml:space="preserve">28" X 30" ELECTRICAL PSEG UTILITY BOX </t>
  </si>
  <si>
    <t>36" X 36" PG STYLE POLYMER CONCRETE BOX WITH DESIGNATION "ELECTRICAL" SERVICE ENTRANCE QUAZITE BOX W/TIER 15 COVER</t>
  </si>
  <si>
    <t>208 PRI. 240 SEC. BUCK/BOOST TRANSFORMER (PROVIDED BY MANUFACTURER)</t>
  </si>
  <si>
    <t>400A CT CABINET NEMA 3R</t>
  </si>
  <si>
    <t>400A UTILITY METER NEMA 3R</t>
  </si>
  <si>
    <t>DUPLEX GRINDER PUMP STATION</t>
  </si>
  <si>
    <t>NEW POLE MOUNTED UTILITY TRANSFORMER NEMA 3R</t>
  </si>
  <si>
    <t>EQUIPMENT CONNECTION FOR AHU</t>
  </si>
  <si>
    <t>EQUIPMENT CONNECTION FOR EDH</t>
  </si>
  <si>
    <t>EQUIPMENT CONNECTION FOR EF</t>
  </si>
  <si>
    <t>EQUIPMENT CONNECTION FOR EUH</t>
  </si>
  <si>
    <t>EQUIPMENT CONNECTION FOR HWH</t>
  </si>
  <si>
    <t>EQUIPMENT CONNECTION FOR PTHP</t>
  </si>
  <si>
    <t>EQUIPMENT CONNECTION FOR RAD</t>
  </si>
  <si>
    <t>#12/2C SOLID MC</t>
  </si>
  <si>
    <t>CAT 5</t>
  </si>
  <si>
    <t>#12 THHN</t>
  </si>
  <si>
    <t xml:space="preserve">#12/2C SOLID MC </t>
  </si>
  <si>
    <t>3/4"C FLEX S</t>
  </si>
  <si>
    <t>#10 THHN</t>
  </si>
  <si>
    <t>#14 THW</t>
  </si>
  <si>
    <t xml:space="preserve">15A/2P SPECIAL RECEPTACLE NEMA 6-15P </t>
  </si>
  <si>
    <t>30A/2P SPECIAL RECEPTACLE NEMA 6-30P</t>
  </si>
  <si>
    <t>30A/2P SPECIAL RECEPTACLE NEMA 14-30P</t>
  </si>
  <si>
    <t xml:space="preserve">DISCONNECT RECEPTACLE IN NEMA 1 BOX </t>
  </si>
  <si>
    <t>FRACTIONAL HP STARTER</t>
  </si>
  <si>
    <t xml:space="preserve">POWER CORD ' PWR00286' </t>
  </si>
  <si>
    <t xml:space="preserve">POWER CORD 'PWR00290' </t>
  </si>
  <si>
    <t>FLOOR BOX, (1) DUPLEX AND COMBINATION TELE/DATA OUTLET
LEGRAND #EFB45S 4/5 GANG</t>
  </si>
  <si>
    <t>A1, 
2X2 ARCHITECTURAL TROFFER
FINELITE, INC #HPR-LED-A-2X2-S835-DC0-96LG FC-10%-XX-96LG</t>
  </si>
  <si>
    <t>A1E, 
2X2 ARCHITECTURAL TROFFER W/EMERGENCY MINUTES BATTERY BACKUP
FINELITE, INC #HPR-LED-A-2X2-S835-DC0-96LG FC-10%-XX-96LG-LGD10W</t>
  </si>
  <si>
    <t>A2,
2X4 ARCHITECTURAL TROFFER
FINELITE, INC #HPR-LED-A-2X2-S835-DC0-96LG FC-10%-XX-96LG</t>
  </si>
  <si>
    <t>A2E, 
2X4 ARCHITECTURAL TROFFER W/EMERGENCY MINUTES BATTERY BACKUP
FINELITE, INC #HPR-LED-A-2X2-S835-DC0-96LG FC-10%-XX-96LG-LGD10W</t>
  </si>
  <si>
    <t>B, 
2X2 EDGE-LIT FLAT PANEL
COLUMBIA LIGHTING #CFP22-4035</t>
  </si>
  <si>
    <t>BE, 
2X2 EDGE-LIT FLAT PANEL WITH EMERGENCY BATTERY BACKUP
COLUMBIA LIGHTING #CFP22-4035-ELL14</t>
  </si>
  <si>
    <t>C, 
4' LED NARROW WRAP
COLUMBIA LIGHTING #CNW4-LSCS-3500K</t>
  </si>
  <si>
    <t>W1, 
EXTERIOR WALL PACK WITH IN BOLT PHOTOCELL
EXO #LNC-5L-U-4K-4-BLT-PCU</t>
  </si>
  <si>
    <t>XED, 
ELXN400 LED SERIES
EMERGI-LITE #ELXN400R-2LEDR-AD</t>
  </si>
  <si>
    <t>W2, 
EXTERIOR WALL PACK WITH IN BOLT PHOTOCELL
EXO #LNC-7L-U-4K-4-BLT-PCU</t>
  </si>
  <si>
    <t>B1E,
2X2 EDGE-LIT FLAT PANEL WITH EMERGENCY BATTERY BACKUP AND ADDITIONAL  2X2 CFP SURFACE MOUNT KIT
COLUMBIA LIGHTING #CFP22-4035-ELL14-SRPSMK-22</t>
  </si>
  <si>
    <t xml:space="preserve">4X4 JUNCTION BOX </t>
  </si>
  <si>
    <t>NXRC-1R</t>
  </si>
  <si>
    <t>NXRCFX2-1RD</t>
  </si>
  <si>
    <t>OS, 
LOW VOLTAGE OCCUPANCY SENSOR 
HUBBELL #NXSMP2-OMNI</t>
  </si>
  <si>
    <t>S, 
SINGLE POLE TOGGLE SWITCH 
HUBBELL #NXSW-1</t>
  </si>
  <si>
    <t>S3, 
3-WAY TOGGLE SWITCH 
HUBBELL #NXSW-1</t>
  </si>
  <si>
    <t>S4, 
4-WAY TOGGLE SWITCH 
HUBBELL #NXSW-1</t>
  </si>
  <si>
    <t>TELECOMMUNICATION</t>
  </si>
  <si>
    <t>SECURITY</t>
  </si>
  <si>
    <t>FIRE ALARM SYSTEM</t>
  </si>
  <si>
    <t>COMBINATION FIRE ALARM SPEAKER/STROBE</t>
  </si>
  <si>
    <t xml:space="preserve">FIRE ALARM CONTROL PANEL </t>
  </si>
  <si>
    <t>FIRE ALARM MANUAL PULL STATION</t>
  </si>
  <si>
    <t>FIRE ALARM STROBE LIGHT</t>
  </si>
  <si>
    <t>HEAT DETECTOR (COMBINATION FT/RR)</t>
  </si>
  <si>
    <t xml:space="preserve">PHOTO-ELECTRIC TYPE SMOKE DETECTOR </t>
  </si>
  <si>
    <t xml:space="preserve">REMOTE ANNUNCIATOR WITH DISPLAY &amp; CONTROL FUNCTION </t>
  </si>
  <si>
    <t xml:space="preserve">#14/2C FPLP </t>
  </si>
  <si>
    <t xml:space="preserve">8" X 8" X 4" BOX </t>
  </si>
  <si>
    <t>ACCESS CONTROL KEY FOB</t>
  </si>
  <si>
    <t xml:space="preserve">ACCESS CONTROL PANEL </t>
  </si>
  <si>
    <t xml:space="preserve">DIALER </t>
  </si>
  <si>
    <t>INFRARED SENSOR</t>
  </si>
  <si>
    <t>WALL MOUNTED IT ENCLOSURE</t>
  </si>
  <si>
    <t>CAT 6</t>
  </si>
  <si>
    <t>2 PORT DATA OUTLET</t>
  </si>
  <si>
    <t>16X16X8" JUNCTION BOX NEMA 3R</t>
  </si>
  <si>
    <t>24" X 24" PG STYLE POLYMER CONCRETE BOX WITH DESIGNATION "TELECOMMUNICATION" QUAZITE BOX W/TIER 22 COVER</t>
  </si>
  <si>
    <t>COMBINATION VOIP DATA OUTLET</t>
  </si>
  <si>
    <t>DATA OUTLET</t>
  </si>
  <si>
    <t xml:space="preserve">JUNCTION BOX FOR TROFFER LIGHT </t>
  </si>
  <si>
    <t xml:space="preserve">HANGER SUPPORT LIGHT </t>
  </si>
  <si>
    <t>EARTH QUAKE CLIPS</t>
  </si>
  <si>
    <t>DUPLEX ALTERNATING PANEL T-260 NEMA 4X ENCLOSURE
•(2) CONTACTOR
•OPTIONAL HOUR METER
•ALARM LIGHT</t>
  </si>
  <si>
    <t>XR, 
CLUSTER REMOTE HEAD EF44D
EMERGI-LITE #EF44-D-LED-WP</t>
  </si>
  <si>
    <t xml:space="preserve">ELECTRIC DOOR STRIKE </t>
  </si>
  <si>
    <t>MULTISENSORY SECURITY CAMERA</t>
  </si>
  <si>
    <t>AUXILIARY NOTIFICATION BOOSTER PANEL W/BATTERY BACKUP CONTROLS &amp; MONITORED VY FACP</t>
  </si>
  <si>
    <t>SECURITY SYSTEM</t>
  </si>
  <si>
    <t xml:space="preserve">MC CABLE IS USED FOR ALL HOME RUNS AND BRANCH CIRCUITS IN LIGHTING AND POWER </t>
  </si>
  <si>
    <t>CONDUIT AND CONDUCTOR IS USED IN HOMERUNS AND BRANCH CIRCUIT FOR ALL MECHNICALE EQUIPMENT DEVICES. PLEASE NOTE IT</t>
  </si>
  <si>
    <t>36" X  20" TRENCHING AND BACKFILLING</t>
  </si>
  <si>
    <t>28" X  12" TRENCHING AND BACKFILLING</t>
  </si>
  <si>
    <t>30" X  19" TRENCHING AND BACKFILLING</t>
  </si>
  <si>
    <t>1" RGS LB-STYLE CONDUIT BODY NEMA 3R</t>
  </si>
  <si>
    <t>PRICING IS COMPLY WITH NECA 1</t>
  </si>
  <si>
    <t># 2 BARE COPPER -  7-STRAND</t>
  </si>
  <si>
    <t>4"     CONDUIT - EMT</t>
  </si>
  <si>
    <t>4"     ELBOW 90 DEG - EMT</t>
  </si>
  <si>
    <t>4"     BUSHING - PLASTIC</t>
  </si>
  <si>
    <t>4"     1-H STRAP - RMC / EMT- STEEL</t>
  </si>
  <si>
    <t>3/8-16x 2 1/4 WEDGE ANCHOR - 1 1/2" MIN DEPTH</t>
  </si>
  <si>
    <t>4"     CONDUIT - PVC40</t>
  </si>
  <si>
    <t>4"     ELBOW 90 DEG - RMC - GALV</t>
  </si>
  <si>
    <t>4"     LOCKNUT - STEEL</t>
  </si>
  <si>
    <t>4"     COUPLING - PVC</t>
  </si>
  <si>
    <t>4"     ADAPTER FEM - PVC</t>
  </si>
  <si>
    <t>4"     CONDUIT - RMC - GALV</t>
  </si>
  <si>
    <t>4"     COUPLING - RMC - GALV</t>
  </si>
  <si>
    <t>4"     MEASURE CUT &amp; THREAD LABOR - RMC - GALV</t>
  </si>
  <si>
    <t>4"     SPRING STL CONDUIT CLAMP W/ BOLT</t>
  </si>
  <si>
    <t>1 1/4" CONDUIT - EMT</t>
  </si>
  <si>
    <t>1 1/4" CONN COMP STL - EMT</t>
  </si>
  <si>
    <t>1 1/4" COUPLING COMP STL - EMT</t>
  </si>
  <si>
    <t>1 1/4" BUSHING - PLASTIC</t>
  </si>
  <si>
    <t>1 1/4" 1-H STRAP - EMT - STEEL</t>
  </si>
  <si>
    <t>1/4-20x 1 3/4 WEDGE ANCHOR - 1 1/8" MIN DEPTH</t>
  </si>
  <si>
    <t>1 1/4" CONDUIT - PVC40</t>
  </si>
  <si>
    <t>1 1/4" ELBOW 90 DEG - RMC - GALV</t>
  </si>
  <si>
    <t>1 1/4" LOCKNUT - STEEL</t>
  </si>
  <si>
    <t>1 1/4" COUPLING - PVC</t>
  </si>
  <si>
    <t>1 1/4" ADAPTER FEM - PVC</t>
  </si>
  <si>
    <t>1 1/4" CONDUIT - RMC - GALV</t>
  </si>
  <si>
    <t>1 1/4" COUPLING - RMC - GALV</t>
  </si>
  <si>
    <t>1 1/4" MEASURE CUT &amp; THREAD LABOR - RMC - GALV</t>
  </si>
  <si>
    <t>1 1/2" EMT &amp; 1 1/4" RMC / IMC SPRING STL CLAMP W/ BOLT</t>
  </si>
  <si>
    <t>1"     CONDUIT - PVC40</t>
  </si>
  <si>
    <t>1"     ELBOW 90 DEG - RMC - GALV</t>
  </si>
  <si>
    <t>1"     LOCKNUT - STEEL</t>
  </si>
  <si>
    <t>1"     COUPLING - PVC</t>
  </si>
  <si>
    <t>1"     ADAPTER FEM - PVC</t>
  </si>
  <si>
    <t xml:space="preserve">  3/4" CONDUIT - PVC40</t>
  </si>
  <si>
    <t xml:space="preserve">  3/4" ELBOW 90 DEG - RMC - GALV</t>
  </si>
  <si>
    <t xml:space="preserve">  3/4" LOCKNUT - STEEL</t>
  </si>
  <si>
    <t xml:space="preserve">  3/4" COUPLING - PVC</t>
  </si>
  <si>
    <t xml:space="preserve">  3/4" ADAPTER FEM - PVC</t>
  </si>
  <si>
    <t xml:space="preserve">  3/4" CONDUIT - EMT</t>
  </si>
  <si>
    <t xml:space="preserve">  3/4" CONN COMP STL - EMT</t>
  </si>
  <si>
    <t xml:space="preserve">  3/4" COUPLING COMP STL - EMT</t>
  </si>
  <si>
    <t xml:space="preserve">  3/4" 1-H STRAP - EMT - STEEL</t>
  </si>
  <si>
    <t>#8  TO #10x   7/8 PLAS ANCHOR (3/16)</t>
  </si>
  <si>
    <t>#10x 1     P/H SELF-TAP SCREW</t>
  </si>
  <si>
    <t>1"     CONDUIT - EMT</t>
  </si>
  <si>
    <t>1"     CONN COMP STL - EMT</t>
  </si>
  <si>
    <t>1"     COUPLING COMP STL - EMT</t>
  </si>
  <si>
    <t>1"     1-H STRAP - EMT - STEEL</t>
  </si>
  <si>
    <t xml:space="preserve">DUPLEX RECEPTACLE </t>
  </si>
  <si>
    <t>DUPLEX RECEPTACLE GFI</t>
  </si>
  <si>
    <t>DUPLEX RECEPTACLE GFI WEATHERPROOF</t>
  </si>
  <si>
    <t xml:space="preserve">QUAD RECEPTACLE </t>
  </si>
  <si>
    <t>4x 2 1/8" SQ BOX COMB KO W/ nVGR1ent CADDY Model #TSB</t>
  </si>
  <si>
    <t>4" SQ 1G PLSTR RING 5/8" RISE</t>
  </si>
  <si>
    <t>GROUND SCREW W/ INSUL #12 LEAD</t>
  </si>
  <si>
    <t>#10x   3/4 P/H SELF-TAP SCREW</t>
  </si>
  <si>
    <t>1G DUPLEX REC PLATE - SS</t>
  </si>
  <si>
    <t>1G TGL SWITCH PLATE - SS</t>
  </si>
  <si>
    <t>4 9/16x 1 15/16" DEEP CAST BOX W/ 4x   3/4" HUBS - CI</t>
  </si>
  <si>
    <t>COVER ROUND BLANK - CI</t>
  </si>
  <si>
    <t>4" SQ 2G PLSTR RING 5/8" RISE</t>
  </si>
  <si>
    <t>2G DUPLEX REC PLATE - SS</t>
  </si>
  <si>
    <t>4"     CONN SS STL - EMT</t>
  </si>
  <si>
    <t>4"     COUPLING SS STL - EMT</t>
  </si>
  <si>
    <t>1"     MEASURE CUT &amp; THREAD LABOR - RMC - GALV</t>
  </si>
  <si>
    <t>1"     SNAP CLOSE CLIP - BTM MNT ON 1/4" FLNG HNGR</t>
  </si>
  <si>
    <t>1"     CONDUIT+BOX SUPPORT - BTM MNT ON 1/4" FLNG HNGR</t>
  </si>
  <si>
    <t>4 9/16x 1 15/16" DEEP CAST BOX W/ 4x 1"     HUBS - CI</t>
  </si>
  <si>
    <t>1"     CONDUIT - RMC - GALV</t>
  </si>
  <si>
    <t>QUOTATION FOR LIGHTING CONTROL</t>
  </si>
  <si>
    <t>ADD QUOTATION FOR LIGHTING FIXTURES, CONTROLS &amp; SWITCHGEAR</t>
  </si>
  <si>
    <t>DEVICES - TAMPER RESISTANT</t>
  </si>
  <si>
    <t>1G SINGLE REC PLATE - SS</t>
  </si>
  <si>
    <t>FURNISHED BY OTHER INSTALL BY EC</t>
  </si>
  <si>
    <t>THE ESTIMATE INCLUDES MATERIAL PRICES (EXCEPT FOR QUOTED ITEMS - LIGHTING FIXTURES, CONTROLS  AND SWITCHGEAR)</t>
  </si>
  <si>
    <t xml:space="preserve">  3/4" CONDUIT - RMC - GALV</t>
  </si>
  <si>
    <t xml:space="preserve">  3/4" MEASURE CUT &amp; THREAD LABOR - RMC - GALV</t>
  </si>
  <si>
    <t xml:space="preserve">  3/4" 1-H STRAP - RMC - MALL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</si>
</sst>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 #,##0_-;_-* &quot;-&quot;_-;_-@_-"/>
    <numFmt numFmtId="165" formatCode="_-* #,##0.00_-;\-* #,##0.00_-;_-* &quot;-&quot;??_-;_-@_-"/>
    <numFmt numFmtId="166" formatCode="_-[$$-409]* #,##0.00_ ;_-[$$-409]* \-#,##0.00\ ;_-[$$-409]* &quot;-&quot;??_ ;_-@_ "/>
    <numFmt numFmtId="167" formatCode="_-* #,##0.00_-;\-* #,##0.00_-;_-* &quot;-&quot;_-;_-@_-"/>
    <numFmt numFmtId="168" formatCode="_-[$$-409]* #,##0_ ;_-[$$-409]* \-#,##0\ ;_-[$$-409]* &quot;-&quot;??_ ;_-@_ "/>
    <numFmt numFmtId="169" formatCode="_-* #,##0.0000_-;\-* #,##0.0000_-;_-* &quot;-&quot;??_-;_-@_-"/>
    <numFmt numFmtId="170" formatCode="_(&quot;$&quot;* #,##0_);_(&quot;$&quot;* \(#,##0\);_(&quot;$&quot;* &quot;-&quot;??_);_(@_)"/>
    <numFmt numFmtId="171" formatCode="0.000%"/>
  </numFmts>
  <fonts count="16" x14ac:knownFonts="1">
    <font>
      <sz val="11"/>
      <color theme="1"/>
      <name val="Calibri"/>
      <family val="2"/>
      <scheme val="minor"/>
    </font>
    <font>
      <sz val="11"/>
      <color theme="1"/>
      <name val="Calibri"/>
      <family val="2"/>
      <scheme val="minor"/>
    </font>
    <font>
      <sz val="12"/>
      <name val="Arial"/>
      <family val="2"/>
    </font>
    <font>
      <sz val="11"/>
      <name val="Calibri"/>
      <family val="2"/>
      <scheme val="minor"/>
    </font>
    <font>
      <b/>
      <sz val="11"/>
      <name val="Calibri"/>
      <family val="2"/>
      <scheme val="minor"/>
    </font>
    <font>
      <b/>
      <sz val="11"/>
      <color theme="1"/>
      <name val="Calibri"/>
      <family val="2"/>
      <scheme val="minor"/>
    </font>
    <font>
      <b/>
      <sz val="12"/>
      <name val="Calibri"/>
      <family val="2"/>
      <scheme val="minor"/>
    </font>
    <font>
      <sz val="11"/>
      <color rgb="FF000000"/>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i/>
      <sz val="12"/>
      <name val="Calibri"/>
      <family val="2"/>
      <scheme val="minor"/>
    </font>
    <font>
      <b/>
      <i/>
      <sz val="12"/>
      <color theme="1"/>
      <name val="Calibri"/>
      <family val="2"/>
      <scheme val="minor"/>
    </font>
    <font>
      <i/>
      <sz val="11"/>
      <color theme="1"/>
      <name val="Calibri"/>
      <family val="2"/>
      <scheme val="minor"/>
    </font>
    <font>
      <b/>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5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5" fillId="6" borderId="1" applyBorder="0">
      <alignment horizontal="center" vertical="center" wrapText="1"/>
    </xf>
    <xf numFmtId="166" fontId="9" fillId="7" borderId="12" applyBorder="0">
      <alignment horizontal="center" vertical="center"/>
    </xf>
  </cellStyleXfs>
  <cellXfs count="380">
    <xf numFmtId="0" fontId="0" fillId="0" borderId="0" xfId="0"/>
    <xf numFmtId="9" fontId="3" fillId="2" borderId="9" xfId="2" applyFont="1" applyFill="1" applyBorder="1" applyAlignment="1">
      <alignment horizontal="center" vertical="center"/>
    </xf>
    <xf numFmtId="0" fontId="1" fillId="2" borderId="9" xfId="0" applyFont="1" applyFill="1" applyBorder="1" applyAlignment="1">
      <alignment horizontal="center" vertical="center"/>
    </xf>
    <xf numFmtId="167" fontId="1" fillId="2" borderId="9" xfId="4" applyNumberFormat="1" applyFill="1" applyBorder="1" applyAlignment="1">
      <alignment horizontal="center" vertical="center"/>
    </xf>
    <xf numFmtId="166" fontId="1" fillId="2" borderId="9" xfId="1" applyNumberFormat="1" applyFont="1" applyFill="1" applyBorder="1" applyAlignment="1">
      <alignment horizontal="center" vertical="center"/>
    </xf>
    <xf numFmtId="0" fontId="0" fillId="2" borderId="9" xfId="0" applyFill="1" applyBorder="1" applyAlignment="1">
      <alignment horizontal="center" vertical="center"/>
    </xf>
    <xf numFmtId="0" fontId="7" fillId="0" borderId="9" xfId="0" applyFont="1" applyBorder="1" applyAlignment="1">
      <alignment horizontal="left" vertical="center" wrapText="1"/>
    </xf>
    <xf numFmtId="0" fontId="0" fillId="0" borderId="9" xfId="0" applyBorder="1" applyAlignment="1">
      <alignment horizontal="left" vertical="center" wrapText="1"/>
    </xf>
    <xf numFmtId="166" fontId="0" fillId="0" borderId="9" xfId="0" applyNumberFormat="1" applyBorder="1" applyAlignment="1">
      <alignment horizontal="center" vertical="center"/>
    </xf>
    <xf numFmtId="166" fontId="0" fillId="0" borderId="9" xfId="0" applyNumberFormat="1" applyBorder="1" applyAlignment="1">
      <alignment vertical="center"/>
    </xf>
    <xf numFmtId="0" fontId="1" fillId="2" borderId="11" xfId="0" applyFont="1" applyFill="1" applyBorder="1" applyAlignment="1">
      <alignment horizontal="left" vertical="center" wrapText="1"/>
    </xf>
    <xf numFmtId="166" fontId="3" fillId="2" borderId="9" xfId="1" applyNumberFormat="1" applyFont="1" applyFill="1" applyBorder="1" applyAlignment="1">
      <alignment horizontal="center" vertical="center"/>
    </xf>
    <xf numFmtId="166" fontId="1" fillId="0" borderId="0" xfId="0" applyNumberFormat="1" applyFont="1" applyAlignment="1">
      <alignment horizontal="center" vertical="center"/>
    </xf>
    <xf numFmtId="0" fontId="1" fillId="0" borderId="15" xfId="0" applyFont="1" applyBorder="1" applyAlignment="1">
      <alignment horizontal="left" vertical="center" wrapText="1"/>
    </xf>
    <xf numFmtId="0" fontId="0" fillId="0" borderId="14" xfId="0"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left" vertical="center" wrapText="1"/>
    </xf>
    <xf numFmtId="0" fontId="1" fillId="0" borderId="0" xfId="0" applyFont="1" applyAlignment="1">
      <alignment vertical="center"/>
    </xf>
    <xf numFmtId="9" fontId="3" fillId="2" borderId="8" xfId="2" applyFont="1" applyFill="1" applyBorder="1" applyAlignment="1">
      <alignment horizontal="center" vertical="center"/>
    </xf>
    <xf numFmtId="0" fontId="1" fillId="2" borderId="8" xfId="0" applyFont="1" applyFill="1" applyBorder="1" applyAlignment="1">
      <alignment horizontal="center" vertical="center"/>
    </xf>
    <xf numFmtId="166" fontId="3" fillId="2" borderId="14" xfId="1" applyNumberFormat="1" applyFont="1" applyFill="1" applyBorder="1" applyAlignment="1">
      <alignment horizontal="center" vertical="center"/>
    </xf>
    <xf numFmtId="9" fontId="3" fillId="2" borderId="11" xfId="2" applyFont="1" applyFill="1" applyBorder="1" applyAlignment="1">
      <alignment horizontal="center" vertical="center"/>
    </xf>
    <xf numFmtId="0" fontId="1" fillId="2" borderId="11" xfId="0" applyFont="1" applyFill="1" applyBorder="1" applyAlignment="1">
      <alignment horizontal="center" vertical="center"/>
    </xf>
    <xf numFmtId="0" fontId="4" fillId="0" borderId="3" xfId="0" applyFont="1" applyBorder="1" applyAlignment="1">
      <alignment horizontal="center" vertical="center" wrapText="1"/>
    </xf>
    <xf numFmtId="166" fontId="1" fillId="0" borderId="5" xfId="1" applyNumberFormat="1"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vertical="center"/>
    </xf>
    <xf numFmtId="9" fontId="0" fillId="0" borderId="9" xfId="2" applyFont="1" applyBorder="1" applyAlignment="1">
      <alignment horizontal="center" vertical="center"/>
    </xf>
    <xf numFmtId="0" fontId="3" fillId="2" borderId="9" xfId="3" applyFont="1" applyFill="1" applyBorder="1" applyAlignment="1">
      <alignment horizontal="center" vertical="center"/>
    </xf>
    <xf numFmtId="167" fontId="1" fillId="0" borderId="9" xfId="4" applyNumberFormat="1" applyBorder="1" applyAlignment="1">
      <alignment vertical="center"/>
    </xf>
    <xf numFmtId="0" fontId="0" fillId="0" borderId="0" xfId="0" applyAlignment="1">
      <alignment vertical="center"/>
    </xf>
    <xf numFmtId="167" fontId="1" fillId="0" borderId="9" xfId="4" applyNumberFormat="1" applyBorder="1" applyAlignment="1">
      <alignment horizontal="center" vertical="center"/>
    </xf>
    <xf numFmtId="0" fontId="1" fillId="0" borderId="18" xfId="0" applyFont="1" applyBorder="1" applyAlignment="1">
      <alignment horizontal="center" vertical="center"/>
    </xf>
    <xf numFmtId="0" fontId="0" fillId="0" borderId="9" xfId="0" applyBorder="1" applyAlignment="1">
      <alignment vertical="center" wrapText="1"/>
    </xf>
    <xf numFmtId="166" fontId="4" fillId="0" borderId="3" xfId="0" applyNumberFormat="1" applyFont="1" applyBorder="1" applyAlignment="1">
      <alignment horizontal="center" vertical="center" wrapText="1"/>
    </xf>
    <xf numFmtId="167" fontId="4" fillId="0" borderId="3" xfId="4" applyNumberFormat="1" applyFont="1" applyBorder="1" applyAlignment="1">
      <alignment horizontal="center" vertical="center" wrapText="1"/>
    </xf>
    <xf numFmtId="166" fontId="1" fillId="0" borderId="0" xfId="4" applyNumberFormat="1" applyAlignment="1">
      <alignment horizontal="center" vertical="center"/>
    </xf>
    <xf numFmtId="0" fontId="1" fillId="0" borderId="26" xfId="0" applyFont="1" applyBorder="1" applyAlignment="1">
      <alignment horizontal="center" vertical="center"/>
    </xf>
    <xf numFmtId="44" fontId="1" fillId="0" borderId="0" xfId="0" applyNumberFormat="1" applyFont="1" applyAlignment="1">
      <alignment horizontal="center" vertical="center"/>
    </xf>
    <xf numFmtId="168" fontId="4" fillId="0" borderId="3" xfId="4" applyNumberFormat="1" applyFont="1" applyBorder="1" applyAlignment="1">
      <alignment horizontal="center" vertical="center" wrapText="1"/>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4" fillId="0" borderId="3" xfId="0" applyFont="1" applyBorder="1" applyAlignment="1">
      <alignment horizontal="center" vertical="center"/>
    </xf>
    <xf numFmtId="167" fontId="5" fillId="0" borderId="3" xfId="4" applyNumberFormat="1" applyFont="1" applyBorder="1" applyAlignment="1">
      <alignment horizontal="center" vertical="center" wrapText="1"/>
    </xf>
    <xf numFmtId="166" fontId="1" fillId="2" borderId="8" xfId="1" applyNumberFormat="1" applyFont="1" applyFill="1" applyBorder="1" applyAlignment="1">
      <alignment horizontal="center" vertical="center"/>
    </xf>
    <xf numFmtId="166" fontId="0" fillId="2" borderId="9" xfId="1" applyNumberFormat="1" applyFont="1" applyFill="1" applyBorder="1" applyAlignment="1">
      <alignment horizontal="center" vertical="center"/>
    </xf>
    <xf numFmtId="1" fontId="1" fillId="0" borderId="37" xfId="4" applyNumberFormat="1" applyBorder="1" applyAlignment="1">
      <alignment horizontal="center" vertical="center"/>
    </xf>
    <xf numFmtId="0" fontId="1" fillId="0" borderId="35" xfId="4" applyBorder="1" applyAlignment="1">
      <alignment horizontal="center" vertical="center"/>
    </xf>
    <xf numFmtId="0" fontId="1" fillId="0" borderId="36" xfId="4" applyBorder="1" applyAlignment="1">
      <alignment horizontal="center" vertical="center"/>
    </xf>
    <xf numFmtId="166" fontId="0" fillId="3" borderId="9" xfId="0" applyNumberFormat="1" applyFill="1" applyBorder="1" applyAlignment="1">
      <alignment vertical="center"/>
    </xf>
    <xf numFmtId="0" fontId="0" fillId="0" borderId="27" xfId="0" applyBorder="1" applyAlignment="1">
      <alignment horizontal="center" vertical="center"/>
    </xf>
    <xf numFmtId="168" fontId="1" fillId="2" borderId="9" xfId="4" applyNumberFormat="1" applyFill="1" applyBorder="1" applyAlignment="1">
      <alignment horizontal="center" vertical="center"/>
    </xf>
    <xf numFmtId="168" fontId="1" fillId="2" borderId="13" xfId="4" applyNumberFormat="1" applyFill="1" applyBorder="1" applyAlignment="1">
      <alignment horizontal="center" vertical="center"/>
    </xf>
    <xf numFmtId="168" fontId="1" fillId="0" borderId="13" xfId="4" applyNumberFormat="1" applyBorder="1" applyAlignment="1">
      <alignment vertical="center"/>
    </xf>
    <xf numFmtId="168" fontId="0" fillId="0" borderId="13" xfId="0" applyNumberFormat="1" applyBorder="1" applyAlignment="1">
      <alignment vertical="center"/>
    </xf>
    <xf numFmtId="168" fontId="1" fillId="2" borderId="43" xfId="4" applyNumberFormat="1" applyFill="1" applyBorder="1" applyAlignment="1">
      <alignment horizontal="center" vertical="center"/>
    </xf>
    <xf numFmtId="166" fontId="1" fillId="2" borderId="11" xfId="1" applyNumberFormat="1" applyFont="1" applyFill="1" applyBorder="1" applyAlignment="1">
      <alignment horizontal="center" vertical="center"/>
    </xf>
    <xf numFmtId="166" fontId="0" fillId="2" borderId="11" xfId="1" applyNumberFormat="1" applyFont="1" applyFill="1" applyBorder="1" applyAlignment="1">
      <alignment horizontal="center" vertical="center"/>
    </xf>
    <xf numFmtId="167" fontId="1" fillId="2" borderId="11" xfId="4" applyNumberFormat="1" applyFill="1"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9" fontId="6" fillId="2" borderId="13" xfId="2" applyFont="1" applyFill="1" applyBorder="1" applyAlignment="1">
      <alignment horizontal="center" vertical="center"/>
    </xf>
    <xf numFmtId="168" fontId="9" fillId="2" borderId="10" xfId="4" applyNumberFormat="1" applyFont="1" applyFill="1" applyBorder="1" applyAlignment="1">
      <alignment horizontal="center" vertical="center"/>
    </xf>
    <xf numFmtId="0" fontId="0" fillId="2" borderId="11" xfId="0" applyFill="1" applyBorder="1" applyAlignment="1">
      <alignment horizontal="center" vertical="center"/>
    </xf>
    <xf numFmtId="9" fontId="0" fillId="0" borderId="11" xfId="2" applyFont="1" applyBorder="1" applyAlignment="1">
      <alignment horizontal="center" vertical="center"/>
    </xf>
    <xf numFmtId="0" fontId="0" fillId="0" borderId="11" xfId="0" applyBorder="1" applyAlignment="1">
      <alignment vertical="center" wrapText="1"/>
    </xf>
    <xf numFmtId="167" fontId="1" fillId="2" borderId="8" xfId="4" applyNumberFormat="1" applyFill="1" applyBorder="1" applyAlignment="1">
      <alignment horizontal="center" vertical="center"/>
    </xf>
    <xf numFmtId="166" fontId="0" fillId="0" borderId="11" xfId="0" applyNumberFormat="1" applyBorder="1" applyAlignment="1">
      <alignment vertical="center"/>
    </xf>
    <xf numFmtId="167" fontId="1" fillId="0" borderId="11" xfId="4" applyNumberFormat="1" applyBorder="1" applyAlignment="1">
      <alignment vertical="center"/>
    </xf>
    <xf numFmtId="0" fontId="14" fillId="0" borderId="42" xfId="0" applyFont="1" applyBorder="1" applyAlignment="1">
      <alignment vertical="center"/>
    </xf>
    <xf numFmtId="0" fontId="14" fillId="0" borderId="10" xfId="0" applyFont="1" applyBorder="1" applyAlignment="1">
      <alignment vertical="center"/>
    </xf>
    <xf numFmtId="1" fontId="0" fillId="0" borderId="9" xfId="0" applyNumberFormat="1" applyBorder="1" applyAlignment="1">
      <alignment horizontal="center" vertical="center"/>
    </xf>
    <xf numFmtId="1" fontId="1" fillId="2" borderId="9"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166" fontId="0" fillId="0" borderId="27" xfId="0" applyNumberFormat="1" applyBorder="1" applyAlignment="1">
      <alignment vertical="center"/>
    </xf>
    <xf numFmtId="0" fontId="0" fillId="0" borderId="40" xfId="0" applyBorder="1" applyAlignment="1">
      <alignment horizontal="center" vertical="center"/>
    </xf>
    <xf numFmtId="168" fontId="9" fillId="2" borderId="30" xfId="4" applyNumberFormat="1" applyFont="1" applyFill="1" applyBorder="1" applyAlignment="1">
      <alignment horizontal="center" vertical="center"/>
    </xf>
    <xf numFmtId="1" fontId="3" fillId="2" borderId="9" xfId="3" applyNumberFormat="1" applyFont="1" applyFill="1" applyBorder="1" applyAlignment="1">
      <alignment horizontal="center" vertical="center"/>
    </xf>
    <xf numFmtId="0" fontId="14" fillId="0" borderId="3" xfId="0" applyFont="1" applyBorder="1" applyAlignment="1">
      <alignment vertical="center"/>
    </xf>
    <xf numFmtId="167" fontId="1" fillId="0" borderId="5" xfId="4" applyNumberFormat="1" applyBorder="1" applyAlignment="1">
      <alignment horizontal="center" vertical="center"/>
    </xf>
    <xf numFmtId="167" fontId="1" fillId="0" borderId="6" xfId="4" applyNumberFormat="1" applyBorder="1" applyAlignment="1">
      <alignment horizontal="center" vertical="center"/>
    </xf>
    <xf numFmtId="168" fontId="1" fillId="0" borderId="45" xfId="4" applyNumberFormat="1" applyBorder="1" applyAlignment="1">
      <alignment horizontal="center" vertical="center"/>
    </xf>
    <xf numFmtId="0" fontId="14" fillId="0" borderId="30" xfId="0" applyFont="1" applyBorder="1" applyAlignment="1">
      <alignment vertical="center"/>
    </xf>
    <xf numFmtId="0" fontId="0" fillId="0" borderId="8" xfId="0" applyBorder="1" applyAlignment="1">
      <alignment vertical="center" wrapText="1"/>
    </xf>
    <xf numFmtId="0" fontId="1" fillId="0" borderId="11" xfId="0" applyFont="1" applyBorder="1" applyAlignment="1">
      <alignment vertical="center" wrapText="1"/>
    </xf>
    <xf numFmtId="165" fontId="14" fillId="0" borderId="10" xfId="0" applyNumberFormat="1" applyFont="1" applyBorder="1" applyAlignment="1">
      <alignment vertical="center"/>
    </xf>
    <xf numFmtId="0" fontId="14" fillId="0" borderId="20" xfId="0" applyFont="1" applyBorder="1" applyAlignment="1">
      <alignment vertical="center"/>
    </xf>
    <xf numFmtId="0" fontId="9" fillId="0" borderId="11" xfId="0" applyFont="1" applyBorder="1" applyAlignment="1">
      <alignment vertical="center" wrapText="1"/>
    </xf>
    <xf numFmtId="168" fontId="13" fillId="0" borderId="3" xfId="0" applyNumberFormat="1" applyFont="1" applyBorder="1" applyAlignment="1">
      <alignment vertical="center"/>
    </xf>
    <xf numFmtId="0" fontId="9" fillId="0" borderId="0" xfId="0" applyFont="1" applyAlignment="1">
      <alignment vertical="center"/>
    </xf>
    <xf numFmtId="0" fontId="1" fillId="2" borderId="25"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169" fontId="14" fillId="0" borderId="10" xfId="0" applyNumberFormat="1" applyFont="1" applyBorder="1" applyAlignment="1">
      <alignment vertical="center"/>
    </xf>
    <xf numFmtId="0" fontId="14" fillId="0" borderId="44" xfId="0" applyFont="1" applyBorder="1" applyAlignment="1">
      <alignment vertical="center"/>
    </xf>
    <xf numFmtId="0" fontId="1" fillId="0" borderId="9" xfId="0" applyFont="1" applyBorder="1" applyAlignment="1">
      <alignment vertical="center" wrapText="1"/>
    </xf>
    <xf numFmtId="0" fontId="1" fillId="0" borderId="19" xfId="0" applyFont="1" applyBorder="1" applyAlignment="1">
      <alignment vertical="center"/>
    </xf>
    <xf numFmtId="0" fontId="0" fillId="0" borderId="0" xfId="0" applyAlignment="1">
      <alignment vertical="center" wrapText="1"/>
    </xf>
    <xf numFmtId="0" fontId="1" fillId="0" borderId="0" xfId="0" applyFont="1" applyAlignment="1">
      <alignment horizontal="center" vertical="center"/>
    </xf>
    <xf numFmtId="167" fontId="1" fillId="0" borderId="0" xfId="4" applyNumberFormat="1" applyAlignment="1">
      <alignment vertical="center"/>
    </xf>
    <xf numFmtId="168" fontId="1" fillId="0" borderId="0" xfId="4" applyNumberFormat="1" applyAlignment="1">
      <alignment vertical="center"/>
    </xf>
    <xf numFmtId="0" fontId="1" fillId="0" borderId="0" xfId="0" applyFont="1" applyAlignment="1">
      <alignment vertical="center" wrapText="1"/>
    </xf>
    <xf numFmtId="167" fontId="1" fillId="0" borderId="19" xfId="4" applyNumberFormat="1" applyBorder="1" applyAlignment="1">
      <alignment horizontal="center" vertical="center"/>
    </xf>
    <xf numFmtId="167" fontId="1" fillId="0" borderId="0" xfId="4" applyNumberFormat="1" applyAlignment="1">
      <alignment horizontal="center" vertical="center"/>
    </xf>
    <xf numFmtId="168" fontId="1" fillId="0" borderId="0" xfId="4" applyNumberFormat="1" applyAlignment="1">
      <alignment horizontal="center" vertical="center"/>
    </xf>
    <xf numFmtId="167" fontId="1" fillId="0" borderId="39" xfId="4" applyNumberFormat="1" applyBorder="1" applyAlignment="1">
      <alignment horizontal="center" vertical="center"/>
    </xf>
    <xf numFmtId="167" fontId="1" fillId="0" borderId="17" xfId="4" applyNumberFormat="1" applyBorder="1" applyAlignment="1">
      <alignment horizontal="center" vertical="center"/>
    </xf>
    <xf numFmtId="168" fontId="1" fillId="0" borderId="17" xfId="4" applyNumberFormat="1" applyBorder="1" applyAlignment="1">
      <alignment horizontal="center" vertical="center"/>
    </xf>
    <xf numFmtId="0" fontId="14" fillId="0" borderId="24" xfId="0" applyFont="1" applyBorder="1" applyAlignment="1">
      <alignment vertical="center"/>
    </xf>
    <xf numFmtId="0" fontId="14" fillId="0" borderId="0" xfId="0" applyFont="1" applyAlignment="1">
      <alignment vertical="center"/>
    </xf>
    <xf numFmtId="0" fontId="0" fillId="0" borderId="26" xfId="0" applyBorder="1" applyAlignment="1">
      <alignment horizontal="center" vertical="center"/>
    </xf>
    <xf numFmtId="0" fontId="0" fillId="0" borderId="8" xfId="0" applyBorder="1" applyAlignment="1">
      <alignment vertical="center"/>
    </xf>
    <xf numFmtId="0" fontId="0" fillId="0" borderId="9" xfId="0" applyBorder="1"/>
    <xf numFmtId="166" fontId="0" fillId="0" borderId="9" xfId="0" applyNumberFormat="1" applyBorder="1"/>
    <xf numFmtId="167" fontId="1" fillId="0" borderId="9" xfId="4" applyNumberFormat="1" applyBorder="1"/>
    <xf numFmtId="167" fontId="13" fillId="2" borderId="14" xfId="4" applyNumberFormat="1" applyFont="1" applyFill="1" applyBorder="1" applyAlignment="1">
      <alignment horizontal="center" vertical="center"/>
    </xf>
    <xf numFmtId="167" fontId="13" fillId="2" borderId="9" xfId="4" applyNumberFormat="1" applyFont="1" applyFill="1" applyBorder="1" applyAlignment="1">
      <alignment horizontal="center" vertical="center"/>
    </xf>
    <xf numFmtId="0" fontId="1" fillId="0" borderId="37" xfId="4" applyBorder="1" applyAlignment="1">
      <alignment horizontal="center" vertical="center"/>
    </xf>
    <xf numFmtId="167" fontId="1" fillId="0" borderId="36" xfId="4" applyNumberFormat="1" applyBorder="1" applyAlignment="1">
      <alignment horizontal="center" vertical="center"/>
    </xf>
    <xf numFmtId="1" fontId="8" fillId="0" borderId="4"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 fontId="0" fillId="0" borderId="14" xfId="0" applyNumberFormat="1" applyBorder="1" applyAlignment="1">
      <alignment horizontal="center" vertical="center"/>
    </xf>
    <xf numFmtId="1" fontId="1" fillId="0" borderId="9"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9" xfId="0" applyNumberFormat="1" applyFont="1" applyBorder="1" applyAlignment="1">
      <alignment horizontal="center" vertical="center" wrapText="1"/>
    </xf>
    <xf numFmtId="1" fontId="0" fillId="0" borderId="11" xfId="0" applyNumberFormat="1" applyBorder="1" applyAlignment="1">
      <alignment horizontal="center" vertical="center"/>
    </xf>
    <xf numFmtId="1" fontId="9" fillId="0" borderId="9" xfId="0" applyNumberFormat="1" applyFont="1" applyBorder="1" applyAlignment="1">
      <alignment horizontal="center" vertical="center"/>
    </xf>
    <xf numFmtId="1" fontId="1" fillId="2" borderId="11" xfId="0" applyNumberFormat="1" applyFont="1" applyFill="1" applyBorder="1" applyAlignment="1">
      <alignment horizontal="center" vertical="center" wrapText="1"/>
    </xf>
    <xf numFmtId="1" fontId="1" fillId="0" borderId="11" xfId="0" applyNumberFormat="1" applyFont="1" applyBorder="1" applyAlignment="1">
      <alignment horizontal="center" vertical="center"/>
    </xf>
    <xf numFmtId="1" fontId="1" fillId="0" borderId="0" xfId="0" applyNumberFormat="1"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9" xfId="0" applyBorder="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20" xfId="0" applyBorder="1" applyAlignment="1">
      <alignment vertical="center"/>
    </xf>
    <xf numFmtId="0" fontId="0" fillId="0" borderId="46" xfId="0" applyBorder="1" applyAlignment="1">
      <alignment horizontal="center" vertical="center"/>
    </xf>
    <xf numFmtId="0" fontId="10" fillId="0" borderId="18" xfId="0" quotePrefix="1" applyFont="1" applyBorder="1" applyAlignment="1">
      <alignment horizontal="center" vertical="center"/>
    </xf>
    <xf numFmtId="166" fontId="9" fillId="0" borderId="10"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166" fontId="0" fillId="0" borderId="17" xfId="0" applyNumberFormat="1" applyBorder="1" applyAlignment="1">
      <alignment vertical="center"/>
    </xf>
    <xf numFmtId="0" fontId="0" fillId="0" borderId="24" xfId="0" applyBorder="1" applyAlignment="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70" fontId="4" fillId="0" borderId="32" xfId="1" applyNumberFormat="1" applyFont="1" applyBorder="1" applyAlignment="1">
      <alignment horizontal="center" vertical="center"/>
    </xf>
    <xf numFmtId="170" fontId="4" fillId="0" borderId="32" xfId="1" applyNumberFormat="1" applyFont="1" applyFill="1" applyBorder="1" applyAlignment="1">
      <alignment horizontal="center" vertical="center" wrapText="1"/>
    </xf>
    <xf numFmtId="170" fontId="4" fillId="0" borderId="33"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166" fontId="0" fillId="0" borderId="8" xfId="0" applyNumberFormat="1" applyBorder="1" applyAlignment="1">
      <alignment horizontal="center" vertical="center"/>
    </xf>
    <xf numFmtId="166" fontId="0" fillId="0" borderId="30" xfId="0" applyNumberFormat="1" applyBorder="1" applyAlignment="1">
      <alignment horizontal="center" vertical="center"/>
    </xf>
    <xf numFmtId="166" fontId="0" fillId="0" borderId="9" xfId="0" applyNumberFormat="1" applyBorder="1" applyAlignment="1">
      <alignment horizontal="center" vertical="center" wrapText="1"/>
    </xf>
    <xf numFmtId="166" fontId="0" fillId="0" borderId="10" xfId="0" applyNumberFormat="1" applyBorder="1" applyAlignment="1">
      <alignment horizontal="center" vertical="center"/>
    </xf>
    <xf numFmtId="166" fontId="11" fillId="0" borderId="9" xfId="0" applyNumberFormat="1" applyFont="1" applyBorder="1" applyAlignment="1">
      <alignment horizontal="center" vertical="center" wrapText="1"/>
    </xf>
    <xf numFmtId="166" fontId="11" fillId="0" borderId="10" xfId="0" applyNumberFormat="1" applyFont="1" applyBorder="1" applyAlignment="1">
      <alignment horizontal="center" vertical="center" wrapText="1"/>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9" fontId="0" fillId="0" borderId="0" xfId="2" applyFont="1" applyFill="1" applyBorder="1" applyAlignment="1">
      <alignment vertical="center"/>
    </xf>
    <xf numFmtId="0" fontId="9" fillId="0" borderId="6" xfId="0" applyFont="1" applyBorder="1" applyAlignment="1">
      <alignment horizontal="left" vertical="center" indent="1"/>
    </xf>
    <xf numFmtId="166" fontId="9" fillId="0" borderId="7" xfId="0" applyNumberFormat="1" applyFont="1" applyBorder="1" applyAlignment="1">
      <alignment vertical="center"/>
    </xf>
    <xf numFmtId="0" fontId="9" fillId="0" borderId="9" xfId="0" applyFont="1" applyBorder="1" applyAlignment="1">
      <alignment horizontal="left" vertical="center" indent="1"/>
    </xf>
    <xf numFmtId="0" fontId="0" fillId="0" borderId="13" xfId="0" applyBorder="1" applyAlignment="1">
      <alignment vertical="center"/>
    </xf>
    <xf numFmtId="166" fontId="9" fillId="0" borderId="52" xfId="0" applyNumberFormat="1" applyFont="1" applyBorder="1" applyAlignment="1">
      <alignment vertical="center"/>
    </xf>
    <xf numFmtId="166" fontId="0" fillId="0" borderId="51" xfId="0" applyNumberFormat="1" applyBorder="1" applyAlignme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9" fontId="5" fillId="4" borderId="3" xfId="2" applyFont="1" applyFill="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9" xfId="0" applyBorder="1" applyAlignment="1">
      <alignment horizontal="center" vertical="center"/>
    </xf>
    <xf numFmtId="166" fontId="0" fillId="0" borderId="10" xfId="0" applyNumberFormat="1" applyBorder="1" applyAlignment="1">
      <alignment vertical="center"/>
    </xf>
    <xf numFmtId="164" fontId="1" fillId="0" borderId="10" xfId="4" applyNumberFormat="1" applyBorder="1" applyAlignment="1">
      <alignment vertical="center"/>
    </xf>
    <xf numFmtId="9" fontId="5" fillId="0" borderId="0" xfId="2"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166" fontId="5" fillId="0" borderId="0" xfId="0" applyNumberFormat="1" applyFont="1" applyAlignment="1">
      <alignment vertical="center"/>
    </xf>
    <xf numFmtId="166" fontId="0" fillId="0" borderId="8" xfId="0" applyNumberFormat="1" applyBorder="1" applyAlignment="1">
      <alignment horizontal="center" vertical="center" wrapText="1"/>
    </xf>
    <xf numFmtId="1" fontId="3" fillId="2" borderId="11"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66" fontId="8" fillId="0" borderId="4" xfId="0" applyNumberFormat="1" applyFont="1" applyBorder="1" applyAlignment="1">
      <alignment horizontal="center" vertical="center" wrapText="1"/>
    </xf>
    <xf numFmtId="166" fontId="13" fillId="2" borderId="33" xfId="1" applyNumberFormat="1" applyFont="1" applyFill="1" applyBorder="1" applyAlignment="1">
      <alignment horizontal="center" vertical="center"/>
    </xf>
    <xf numFmtId="166" fontId="1" fillId="0" borderId="12" xfId="1" applyNumberFormat="1" applyFont="1" applyFill="1" applyBorder="1" applyAlignment="1">
      <alignment horizontal="center" vertical="center"/>
    </xf>
    <xf numFmtId="166" fontId="1" fillId="2" borderId="9" xfId="4" applyNumberFormat="1" applyFill="1" applyBorder="1" applyAlignment="1">
      <alignment horizontal="center" vertical="center"/>
    </xf>
    <xf numFmtId="166" fontId="1" fillId="0" borderId="9" xfId="4" applyNumberFormat="1" applyBorder="1" applyAlignment="1">
      <alignment vertical="center"/>
    </xf>
    <xf numFmtId="166" fontId="1" fillId="0" borderId="11" xfId="4" applyNumberFormat="1" applyBorder="1" applyAlignment="1">
      <alignment vertical="center"/>
    </xf>
    <xf numFmtId="166" fontId="1" fillId="2" borderId="8" xfId="4" applyNumberFormat="1" applyFill="1" applyBorder="1" applyAlignment="1">
      <alignment horizontal="center" vertical="center"/>
    </xf>
    <xf numFmtId="166" fontId="9" fillId="2" borderId="14" xfId="1" applyNumberFormat="1" applyFont="1" applyFill="1" applyBorder="1" applyAlignment="1">
      <alignment horizontal="center" vertical="center"/>
    </xf>
    <xf numFmtId="166" fontId="1" fillId="2" borderId="43" xfId="1" applyNumberFormat="1" applyFont="1" applyFill="1" applyBorder="1" applyAlignment="1">
      <alignment horizontal="center" vertical="center"/>
    </xf>
    <xf numFmtId="166" fontId="1" fillId="0" borderId="0" xfId="0" applyNumberFormat="1" applyFont="1" applyAlignment="1">
      <alignment vertical="center"/>
    </xf>
    <xf numFmtId="166" fontId="13" fillId="2" borderId="3" xfId="4" applyNumberFormat="1" applyFont="1" applyFill="1" applyBorder="1" applyAlignment="1">
      <alignment horizontal="center" vertical="center"/>
    </xf>
    <xf numFmtId="164" fontId="1" fillId="0" borderId="30" xfId="4" applyNumberFormat="1" applyBorder="1" applyAlignment="1">
      <alignment vertical="center"/>
    </xf>
    <xf numFmtId="0" fontId="0" fillId="0" borderId="25" xfId="0" applyBorder="1" applyAlignment="1">
      <alignment horizontal="center" vertical="center"/>
    </xf>
    <xf numFmtId="0" fontId="0" fillId="0" borderId="11" xfId="0" applyBorder="1" applyAlignment="1">
      <alignment vertical="center"/>
    </xf>
    <xf numFmtId="9" fontId="0" fillId="0" borderId="15" xfId="2" applyFont="1" applyFill="1" applyBorder="1" applyAlignment="1">
      <alignment vertical="center"/>
    </xf>
    <xf numFmtId="166" fontId="0" fillId="0" borderId="44" xfId="0" applyNumberFormat="1" applyBorder="1" applyAlignment="1">
      <alignment vertical="center"/>
    </xf>
    <xf numFmtId="0" fontId="0" fillId="0" borderId="31" xfId="0" applyBorder="1" applyAlignment="1">
      <alignment horizontal="center" vertical="center"/>
    </xf>
    <xf numFmtId="0" fontId="9" fillId="0" borderId="32" xfId="0" applyFont="1" applyBorder="1" applyAlignment="1">
      <alignment horizontal="left" vertical="center" indent="1"/>
    </xf>
    <xf numFmtId="0" fontId="10" fillId="0" borderId="32" xfId="0" applyFont="1" applyBorder="1" applyAlignment="1">
      <alignment vertical="center"/>
    </xf>
    <xf numFmtId="9" fontId="5" fillId="0" borderId="3" xfId="2" applyFont="1" applyFill="1" applyBorder="1" applyAlignment="1">
      <alignment horizontal="center" vertical="center"/>
    </xf>
    <xf numFmtId="166" fontId="0" fillId="4" borderId="10" xfId="0" applyNumberFormat="1" applyFill="1" applyBorder="1" applyAlignment="1">
      <alignment vertical="center"/>
    </xf>
    <xf numFmtId="0" fontId="0" fillId="4" borderId="3" xfId="0" applyFill="1" applyBorder="1" applyAlignment="1">
      <alignment horizontal="center"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166" fontId="0" fillId="0" borderId="50" xfId="0" applyNumberFormat="1" applyBorder="1" applyAlignment="1">
      <alignment vertical="center"/>
    </xf>
    <xf numFmtId="0" fontId="0" fillId="0" borderId="42" xfId="0" applyBorder="1" applyAlignment="1">
      <alignment vertical="center"/>
    </xf>
    <xf numFmtId="0" fontId="1" fillId="0" borderId="49" xfId="0" applyFont="1" applyBorder="1" applyAlignment="1">
      <alignment vertical="center"/>
    </xf>
    <xf numFmtId="0" fontId="1" fillId="0" borderId="50" xfId="0" applyFont="1"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1" fontId="1" fillId="0" borderId="50" xfId="0" applyNumberFormat="1" applyFont="1" applyBorder="1" applyAlignment="1">
      <alignment horizontal="center" vertical="center"/>
    </xf>
    <xf numFmtId="166" fontId="1" fillId="0" borderId="50" xfId="0" applyNumberFormat="1" applyFont="1" applyBorder="1" applyAlignment="1">
      <alignment horizontal="center" vertical="center"/>
    </xf>
    <xf numFmtId="167" fontId="1" fillId="0" borderId="50" xfId="4" applyNumberFormat="1" applyBorder="1" applyAlignment="1">
      <alignment horizontal="center" vertical="center"/>
    </xf>
    <xf numFmtId="168" fontId="1" fillId="0" borderId="50" xfId="4" applyNumberForma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vertical="center" wrapText="1"/>
    </xf>
    <xf numFmtId="1" fontId="1" fillId="0" borderId="17" xfId="0" applyNumberFormat="1" applyFont="1" applyBorder="1" applyAlignment="1">
      <alignment horizontal="center" vertical="center"/>
    </xf>
    <xf numFmtId="166" fontId="1" fillId="0" borderId="17" xfId="0" applyNumberFormat="1" applyFont="1" applyBorder="1" applyAlignment="1">
      <alignment horizontal="center" vertical="center"/>
    </xf>
    <xf numFmtId="1" fontId="1" fillId="0" borderId="0" xfId="4" applyNumberForma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1" fillId="2" borderId="18" xfId="0" applyFont="1" applyFill="1" applyBorder="1" applyAlignment="1">
      <alignment horizontal="center" vertical="center"/>
    </xf>
    <xf numFmtId="0" fontId="0" fillId="2" borderId="14" xfId="0" applyFill="1" applyBorder="1" applyAlignment="1">
      <alignment horizontal="center" vertical="center"/>
    </xf>
    <xf numFmtId="0" fontId="1" fillId="2" borderId="14" xfId="0" applyFont="1" applyFill="1" applyBorder="1" applyAlignment="1">
      <alignment horizontal="center" vertical="center"/>
    </xf>
    <xf numFmtId="0" fontId="0" fillId="2" borderId="9" xfId="0" applyFill="1" applyBorder="1" applyAlignment="1">
      <alignment vertical="center"/>
    </xf>
    <xf numFmtId="1" fontId="0" fillId="2" borderId="9" xfId="0" applyNumberFormat="1" applyFill="1" applyBorder="1" applyAlignment="1">
      <alignment horizontal="center" vertical="center"/>
    </xf>
    <xf numFmtId="166" fontId="0" fillId="2" borderId="9" xfId="0" applyNumberFormat="1" applyFill="1" applyBorder="1" applyAlignment="1">
      <alignment vertical="center"/>
    </xf>
    <xf numFmtId="166" fontId="1" fillId="2" borderId="9" xfId="4" applyNumberFormat="1" applyFill="1" applyBorder="1" applyAlignment="1">
      <alignment vertical="center"/>
    </xf>
    <xf numFmtId="167" fontId="1" fillId="2" borderId="9" xfId="4" applyNumberFormat="1" applyFill="1" applyBorder="1" applyAlignment="1">
      <alignment vertical="center"/>
    </xf>
    <xf numFmtId="165" fontId="14" fillId="2" borderId="10" xfId="0" applyNumberFormat="1" applyFont="1" applyFill="1" applyBorder="1" applyAlignment="1">
      <alignment vertical="center"/>
    </xf>
    <xf numFmtId="0" fontId="1" fillId="2" borderId="0" xfId="0" applyFont="1" applyFill="1" applyAlignment="1">
      <alignment vertical="center"/>
    </xf>
    <xf numFmtId="0" fontId="1" fillId="2" borderId="27" xfId="0" applyFont="1" applyFill="1" applyBorder="1" applyAlignment="1">
      <alignment horizontal="center" vertical="center"/>
    </xf>
    <xf numFmtId="0" fontId="0" fillId="2" borderId="11" xfId="0" applyFill="1" applyBorder="1" applyAlignment="1">
      <alignment vertical="center" wrapText="1"/>
    </xf>
    <xf numFmtId="1" fontId="0" fillId="2" borderId="14" xfId="0" applyNumberFormat="1" applyFill="1" applyBorder="1" applyAlignment="1">
      <alignment horizontal="center" vertical="center"/>
    </xf>
    <xf numFmtId="0" fontId="1" fillId="2" borderId="28" xfId="0" applyFont="1" applyFill="1" applyBorder="1" applyAlignment="1">
      <alignment horizontal="center" vertical="center"/>
    </xf>
    <xf numFmtId="0" fontId="0" fillId="2" borderId="8" xfId="0" applyFill="1" applyBorder="1" applyAlignment="1">
      <alignment vertical="center" wrapText="1"/>
    </xf>
    <xf numFmtId="0" fontId="0" fillId="2" borderId="9" xfId="0" applyFill="1" applyBorder="1" applyAlignment="1">
      <alignment horizontal="left" vertical="center" wrapText="1"/>
    </xf>
    <xf numFmtId="0" fontId="0" fillId="2" borderId="9" xfId="0" applyFill="1" applyBorder="1" applyAlignment="1">
      <alignment horizontal="left" vertical="center"/>
    </xf>
    <xf numFmtId="0" fontId="1" fillId="2" borderId="11" xfId="0" applyFont="1" applyFill="1" applyBorder="1" applyAlignment="1">
      <alignment vertical="center" wrapText="1"/>
    </xf>
    <xf numFmtId="1" fontId="1" fillId="2" borderId="9" xfId="0" applyNumberFormat="1" applyFont="1" applyFill="1" applyBorder="1" applyAlignment="1">
      <alignment horizontal="center" vertical="center"/>
    </xf>
    <xf numFmtId="1" fontId="1" fillId="2" borderId="14" xfId="0" applyNumberFormat="1"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wrapText="1"/>
    </xf>
    <xf numFmtId="169" fontId="14" fillId="2" borderId="10" xfId="0" applyNumberFormat="1" applyFont="1" applyFill="1" applyBorder="1" applyAlignment="1">
      <alignment vertical="center"/>
    </xf>
    <xf numFmtId="0" fontId="0" fillId="2" borderId="8" xfId="0" applyFill="1" applyBorder="1" applyAlignment="1">
      <alignment horizontal="left" vertical="center" wrapText="1"/>
    </xf>
    <xf numFmtId="166" fontId="1" fillId="2" borderId="9" xfId="0" applyNumberFormat="1"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9" xfId="0" applyFont="1" applyFill="1" applyBorder="1" applyAlignment="1">
      <alignment horizontal="left" vertical="center" wrapText="1"/>
    </xf>
    <xf numFmtId="9" fontId="1" fillId="2" borderId="9" xfId="2" applyFont="1" applyFill="1" applyBorder="1" applyAlignment="1">
      <alignment horizontal="center" vertical="center"/>
    </xf>
    <xf numFmtId="0" fontId="1" fillId="2" borderId="26" xfId="0" applyFont="1" applyFill="1" applyBorder="1" applyAlignment="1">
      <alignment horizontal="center" vertical="center"/>
    </xf>
    <xf numFmtId="0" fontId="0" fillId="2" borderId="8" xfId="0" applyFill="1" applyBorder="1" applyAlignment="1">
      <alignment vertical="center"/>
    </xf>
    <xf numFmtId="0" fontId="0" fillId="2" borderId="18" xfId="0" applyFill="1" applyBorder="1" applyAlignment="1">
      <alignment horizontal="center" vertical="center"/>
    </xf>
    <xf numFmtId="0" fontId="0" fillId="2" borderId="27" xfId="0" applyFill="1" applyBorder="1" applyAlignment="1">
      <alignment horizontal="center" vertical="center"/>
    </xf>
    <xf numFmtId="1" fontId="0" fillId="2" borderId="11" xfId="0" applyNumberFormat="1" applyFill="1" applyBorder="1" applyAlignment="1">
      <alignment horizontal="center" vertical="center"/>
    </xf>
    <xf numFmtId="9" fontId="0" fillId="2" borderId="11" xfId="2" applyFont="1" applyFill="1" applyBorder="1" applyAlignment="1">
      <alignment horizontal="center" vertical="center"/>
    </xf>
    <xf numFmtId="166" fontId="0" fillId="2" borderId="11" xfId="0" applyNumberFormat="1" applyFill="1" applyBorder="1" applyAlignment="1">
      <alignment vertical="center"/>
    </xf>
    <xf numFmtId="166" fontId="1" fillId="2" borderId="11" xfId="4" applyNumberFormat="1" applyFill="1" applyBorder="1" applyAlignment="1">
      <alignment vertical="center"/>
    </xf>
    <xf numFmtId="167" fontId="1" fillId="2" borderId="11" xfId="4" applyNumberFormat="1" applyFill="1" applyBorder="1" applyAlignment="1">
      <alignment vertical="center"/>
    </xf>
    <xf numFmtId="0" fontId="14" fillId="2" borderId="10" xfId="0" applyFont="1" applyFill="1" applyBorder="1" applyAlignment="1">
      <alignment vertical="center"/>
    </xf>
    <xf numFmtId="0" fontId="0" fillId="2" borderId="0" xfId="0" applyFill="1" applyAlignment="1">
      <alignment vertical="center"/>
    </xf>
    <xf numFmtId="1" fontId="1" fillId="2" borderId="14" xfId="0" applyNumberFormat="1" applyFont="1" applyFill="1" applyBorder="1" applyAlignment="1">
      <alignment horizontal="center" vertical="center" wrapText="1"/>
    </xf>
    <xf numFmtId="9" fontId="0" fillId="2" borderId="9" xfId="2" applyFont="1" applyFill="1" applyBorder="1" applyAlignment="1">
      <alignment horizontal="center" vertical="center"/>
    </xf>
    <xf numFmtId="168" fontId="0" fillId="2" borderId="13" xfId="0" applyNumberFormat="1" applyFill="1" applyBorder="1" applyAlignment="1">
      <alignment vertical="center"/>
    </xf>
    <xf numFmtId="168" fontId="1" fillId="2" borderId="13" xfId="4" applyNumberFormat="1" applyFill="1" applyBorder="1" applyAlignment="1">
      <alignment vertical="center"/>
    </xf>
    <xf numFmtId="0" fontId="1" fillId="2" borderId="29" xfId="0" applyFont="1" applyFill="1" applyBorder="1" applyAlignment="1">
      <alignment horizontal="center" vertical="center"/>
    </xf>
    <xf numFmtId="0" fontId="1" fillId="2" borderId="15" xfId="0" applyFont="1" applyFill="1" applyBorder="1" applyAlignment="1">
      <alignment horizontal="left" vertical="center" wrapText="1"/>
    </xf>
    <xf numFmtId="1" fontId="1" fillId="2" borderId="8" xfId="0" applyNumberFormat="1" applyFont="1" applyFill="1" applyBorder="1" applyAlignment="1">
      <alignment horizontal="center" vertical="center" wrapText="1"/>
    </xf>
    <xf numFmtId="0" fontId="0" fillId="2" borderId="28" xfId="0" applyFill="1" applyBorder="1" applyAlignment="1">
      <alignment horizontal="center" vertical="center"/>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9" fontId="1" fillId="0" borderId="9" xfId="2" applyFont="1" applyFill="1" applyBorder="1" applyAlignment="1">
      <alignment horizontal="center" vertical="center"/>
    </xf>
    <xf numFmtId="1" fontId="3" fillId="0" borderId="9" xfId="3" applyNumberFormat="1" applyFont="1" applyBorder="1" applyAlignment="1">
      <alignment horizontal="center" vertical="center"/>
    </xf>
    <xf numFmtId="44" fontId="1" fillId="0" borderId="9" xfId="1" applyFont="1" applyBorder="1" applyAlignment="1">
      <alignment horizontal="center" vertical="center"/>
    </xf>
    <xf numFmtId="44" fontId="1" fillId="0" borderId="9" xfId="1" applyBorder="1" applyAlignment="1">
      <alignment vertical="center"/>
    </xf>
    <xf numFmtId="44" fontId="0" fillId="0" borderId="9" xfId="1" applyFont="1" applyBorder="1" applyAlignment="1">
      <alignment vertical="center"/>
    </xf>
    <xf numFmtId="43" fontId="1" fillId="0" borderId="9" xfId="5" applyBorder="1" applyAlignment="1">
      <alignment horizontal="center" vertical="center"/>
    </xf>
    <xf numFmtId="43" fontId="1" fillId="0" borderId="9" xfId="5" applyBorder="1" applyAlignment="1">
      <alignment vertical="center"/>
    </xf>
    <xf numFmtId="170" fontId="1" fillId="0" borderId="13" xfId="1" applyNumberFormat="1" applyBorder="1" applyAlignment="1">
      <alignment horizontal="center" vertical="center"/>
    </xf>
    <xf numFmtId="166" fontId="1" fillId="3" borderId="9" xfId="1" applyNumberFormat="1" applyFont="1" applyFill="1" applyBorder="1" applyAlignment="1">
      <alignment horizontal="center" vertical="center"/>
    </xf>
    <xf numFmtId="166" fontId="0" fillId="2" borderId="9" xfId="1" applyNumberFormat="1" applyFont="1" applyFill="1" applyBorder="1" applyAlignment="1">
      <alignment vertical="center"/>
    </xf>
    <xf numFmtId="43" fontId="0" fillId="2" borderId="13" xfId="5" applyFont="1" applyFill="1" applyBorder="1" applyAlignment="1">
      <alignment vertical="center"/>
    </xf>
    <xf numFmtId="43" fontId="0" fillId="2" borderId="9" xfId="5" applyFont="1" applyFill="1" applyBorder="1" applyAlignment="1">
      <alignment vertical="center"/>
    </xf>
    <xf numFmtId="166" fontId="0" fillId="2" borderId="13" xfId="1" applyNumberFormat="1" applyFont="1" applyFill="1" applyBorder="1" applyAlignment="1">
      <alignment vertical="center"/>
    </xf>
    <xf numFmtId="44" fontId="1" fillId="0" borderId="9" xfId="1" applyFont="1" applyFill="1" applyBorder="1" applyAlignment="1">
      <alignment vertical="center"/>
    </xf>
    <xf numFmtId="44" fontId="0" fillId="0" borderId="9" xfId="1" applyFont="1" applyFill="1" applyBorder="1" applyAlignment="1">
      <alignment vertical="center"/>
    </xf>
    <xf numFmtId="43" fontId="0" fillId="0" borderId="9" xfId="5" applyFont="1" applyBorder="1" applyAlignment="1">
      <alignment vertical="center"/>
    </xf>
    <xf numFmtId="44" fontId="1" fillId="0" borderId="9" xfId="1" applyFont="1" applyFill="1" applyBorder="1" applyAlignment="1">
      <alignment horizontal="center" vertical="center"/>
    </xf>
    <xf numFmtId="44" fontId="1" fillId="0" borderId="9" xfId="1" applyFont="1" applyBorder="1" applyAlignment="1">
      <alignment vertical="center"/>
    </xf>
    <xf numFmtId="0" fontId="3" fillId="0" borderId="9" xfId="0" applyFont="1" applyBorder="1" applyAlignment="1">
      <alignment vertical="center"/>
    </xf>
    <xf numFmtId="0" fontId="3" fillId="2" borderId="9" xfId="0" applyFont="1" applyFill="1" applyBorder="1" applyAlignment="1">
      <alignment horizontal="left" vertical="center" wrapText="1"/>
    </xf>
    <xf numFmtId="166" fontId="0" fillId="0" borderId="9" xfId="1" applyNumberFormat="1" applyFont="1" applyBorder="1" applyAlignment="1">
      <alignment vertical="center"/>
    </xf>
    <xf numFmtId="166" fontId="0" fillId="0" borderId="9" xfId="1" applyNumberFormat="1" applyFont="1" applyBorder="1" applyAlignment="1">
      <alignment horizontal="center" vertical="center"/>
    </xf>
    <xf numFmtId="43" fontId="0" fillId="0" borderId="8" xfId="5" applyFont="1" applyBorder="1" applyAlignment="1">
      <alignment vertical="center"/>
    </xf>
    <xf numFmtId="166" fontId="1" fillId="5" borderId="9" xfId="1" applyNumberFormat="1" applyFont="1" applyFill="1" applyBorder="1" applyAlignment="1">
      <alignment horizontal="center" vertical="center"/>
    </xf>
    <xf numFmtId="171" fontId="5" fillId="0" borderId="3" xfId="2" applyNumberFormat="1" applyFont="1" applyFill="1" applyBorder="1" applyAlignment="1">
      <alignment horizontal="center" vertical="center"/>
    </xf>
    <xf numFmtId="166" fontId="0" fillId="0" borderId="13" xfId="1" applyNumberFormat="1" applyFont="1" applyBorder="1" applyAlignment="1">
      <alignment vertical="center"/>
    </xf>
    <xf numFmtId="43" fontId="0" fillId="0" borderId="13" xfId="5" applyFont="1" applyBorder="1" applyAlignment="1">
      <alignment vertical="center"/>
    </xf>
    <xf numFmtId="9" fontId="0" fillId="0" borderId="9" xfId="2" applyFont="1" applyFill="1" applyBorder="1" applyAlignment="1">
      <alignment horizontal="center" vertical="center"/>
    </xf>
    <xf numFmtId="0" fontId="3" fillId="0" borderId="9" xfId="3" applyFont="1" applyBorder="1" applyAlignment="1">
      <alignment horizontal="center" vertical="center"/>
    </xf>
    <xf numFmtId="166" fontId="0" fillId="0" borderId="9" xfId="1" applyNumberFormat="1" applyFont="1" applyFill="1" applyBorder="1" applyAlignment="1">
      <alignment horizontal="center" vertical="center"/>
    </xf>
    <xf numFmtId="166" fontId="0" fillId="0" borderId="9" xfId="1" applyNumberFormat="1" applyFont="1" applyFill="1" applyBorder="1" applyAlignment="1">
      <alignment vertical="center"/>
    </xf>
    <xf numFmtId="43" fontId="0" fillId="0" borderId="13" xfId="5" applyFont="1" applyFill="1" applyBorder="1" applyAlignment="1">
      <alignment vertical="center"/>
    </xf>
    <xf numFmtId="43" fontId="0" fillId="0" borderId="9" xfId="5" applyFont="1" applyFill="1" applyBorder="1" applyAlignment="1">
      <alignment vertical="center"/>
    </xf>
    <xf numFmtId="166" fontId="0" fillId="0" borderId="13" xfId="1" applyNumberFormat="1" applyFont="1" applyFill="1" applyBorder="1" applyAlignment="1">
      <alignment vertical="center"/>
    </xf>
    <xf numFmtId="43" fontId="0" fillId="0" borderId="9" xfId="5" applyFont="1" applyFill="1" applyBorder="1" applyAlignment="1">
      <alignment horizontal="center" vertical="center"/>
    </xf>
    <xf numFmtId="166" fontId="1" fillId="0" borderId="9" xfId="0" applyNumberFormat="1" applyFont="1" applyBorder="1" applyAlignment="1">
      <alignment horizontal="center" vertical="center"/>
    </xf>
    <xf numFmtId="166" fontId="9" fillId="0" borderId="33" xfId="0" applyNumberFormat="1" applyFont="1" applyBorder="1" applyAlignment="1">
      <alignment vertical="center"/>
    </xf>
    <xf numFmtId="0" fontId="15" fillId="6" borderId="3" xfId="6" applyBorder="1">
      <alignment horizontal="center" vertical="center" wrapText="1"/>
    </xf>
    <xf numFmtId="166" fontId="9" fillId="7" borderId="3" xfId="7" applyBorder="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5" fillId="6" borderId="49" xfId="6" applyBorder="1">
      <alignment horizontal="center" vertical="center" wrapText="1"/>
    </xf>
    <xf numFmtId="0" fontId="15" fillId="6" borderId="50" xfId="6" applyBorder="1">
      <alignment horizontal="center" vertical="center" wrapText="1"/>
    </xf>
    <xf numFmtId="0" fontId="15" fillId="6" borderId="42" xfId="6" applyBorder="1">
      <alignment horizontal="center" vertical="center" wrapText="1"/>
    </xf>
    <xf numFmtId="0" fontId="15" fillId="6" borderId="1" xfId="6" applyBorder="1">
      <alignment horizontal="center" vertical="center" wrapText="1"/>
    </xf>
    <xf numFmtId="0" fontId="15" fillId="6" borderId="4" xfId="6" applyBorder="1">
      <alignment horizontal="center" vertical="center" wrapText="1"/>
    </xf>
    <xf numFmtId="0" fontId="15" fillId="6" borderId="2" xfId="6" applyBorder="1">
      <alignment horizontal="center" vertical="center" wrapText="1"/>
    </xf>
    <xf numFmtId="0" fontId="0" fillId="0" borderId="8" xfId="0" applyBorder="1" applyAlignment="1">
      <alignment horizontal="left" vertical="center"/>
    </xf>
    <xf numFmtId="0" fontId="3" fillId="0" borderId="0" xfId="0" applyFont="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22" xfId="0" applyBorder="1" applyAlignment="1">
      <alignment horizontal="left" vertical="center"/>
    </xf>
    <xf numFmtId="0" fontId="0" fillId="0" borderId="9" xfId="0" applyBorder="1" applyAlignment="1">
      <alignment horizontal="left" vertical="center"/>
    </xf>
    <xf numFmtId="167" fontId="1" fillId="0" borderId="34" xfId="4" applyNumberFormat="1" applyBorder="1" applyAlignment="1">
      <alignment horizontal="left" vertical="center"/>
    </xf>
    <xf numFmtId="167" fontId="1" fillId="0" borderId="22" xfId="4" applyNumberFormat="1" applyBorder="1" applyAlignment="1">
      <alignment horizontal="left" vertical="center"/>
    </xf>
    <xf numFmtId="167" fontId="1" fillId="0" borderId="23" xfId="4" applyNumberFormat="1" applyBorder="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167" fontId="1" fillId="0" borderId="47" xfId="4" applyNumberFormat="1" applyBorder="1" applyAlignment="1">
      <alignment horizontal="center" vertical="center"/>
    </xf>
    <xf numFmtId="167" fontId="1" fillId="0" borderId="48" xfId="4" applyNumberFormat="1" applyBorder="1" applyAlignment="1">
      <alignment horizontal="center" vertical="center"/>
    </xf>
    <xf numFmtId="167" fontId="5" fillId="0" borderId="38" xfId="4" applyNumberFormat="1" applyFont="1" applyBorder="1" applyAlignment="1">
      <alignment horizontal="left" vertical="center"/>
    </xf>
    <xf numFmtId="167" fontId="5" fillId="0" borderId="32" xfId="4" applyNumberFormat="1" applyFont="1" applyBorder="1" applyAlignment="1">
      <alignment horizontal="left" vertical="center"/>
    </xf>
    <xf numFmtId="167" fontId="5" fillId="0" borderId="33" xfId="4" applyNumberFormat="1" applyFont="1" applyBorder="1" applyAlignment="1">
      <alignment horizontal="left" vertical="center"/>
    </xf>
    <xf numFmtId="167" fontId="1" fillId="0" borderId="14" xfId="4" applyNumberFormat="1" applyBorder="1" applyAlignment="1">
      <alignment horizontal="left" vertical="center" wrapText="1"/>
    </xf>
    <xf numFmtId="167" fontId="1" fillId="0" borderId="9" xfId="4" applyNumberFormat="1" applyBorder="1" applyAlignment="1">
      <alignment horizontal="left" vertical="center" wrapText="1"/>
    </xf>
    <xf numFmtId="167" fontId="1" fillId="0" borderId="10" xfId="4" applyNumberFormat="1" applyBorder="1" applyAlignment="1">
      <alignment horizontal="left" vertical="center" wrapText="1"/>
    </xf>
    <xf numFmtId="167" fontId="1" fillId="0" borderId="14" xfId="4" applyNumberFormat="1" applyBorder="1" applyAlignment="1">
      <alignment horizontal="left" vertical="center"/>
    </xf>
    <xf numFmtId="167" fontId="1" fillId="0" borderId="9" xfId="4" applyNumberFormat="1" applyBorder="1" applyAlignment="1">
      <alignment horizontal="left" vertical="center"/>
    </xf>
    <xf numFmtId="167" fontId="1" fillId="0" borderId="10" xfId="4" applyNumberFormat="1" applyBorder="1" applyAlignment="1">
      <alignment horizontal="left" vertical="center"/>
    </xf>
    <xf numFmtId="0" fontId="6" fillId="0" borderId="1"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right" vertical="center"/>
    </xf>
    <xf numFmtId="168" fontId="6" fillId="0" borderId="1" xfId="1" applyNumberFormat="1" applyFont="1" applyFill="1" applyBorder="1" applyAlignment="1">
      <alignment horizontal="center" vertical="center"/>
    </xf>
    <xf numFmtId="168" fontId="6" fillId="0" borderId="4" xfId="1" applyNumberFormat="1" applyFont="1" applyFill="1" applyBorder="1" applyAlignment="1">
      <alignment horizontal="center" vertical="center"/>
    </xf>
    <xf numFmtId="164" fontId="6" fillId="0" borderId="1" xfId="4" applyNumberFormat="1" applyFont="1" applyBorder="1" applyAlignment="1">
      <alignment horizontal="center" vertical="center"/>
    </xf>
    <xf numFmtId="164" fontId="6" fillId="0" borderId="4" xfId="4" applyNumberFormat="1" applyFont="1" applyBorder="1" applyAlignment="1">
      <alignment horizontal="center" vertical="center"/>
    </xf>
    <xf numFmtId="0" fontId="15" fillId="6" borderId="31" xfId="6" applyBorder="1">
      <alignment horizontal="center" vertical="center" wrapText="1"/>
    </xf>
    <xf numFmtId="0" fontId="15" fillId="6" borderId="32" xfId="6" applyBorder="1">
      <alignment horizontal="center" vertical="center" wrapText="1"/>
    </xf>
    <xf numFmtId="0" fontId="15" fillId="6" borderId="33" xfId="6" applyBorder="1">
      <alignment horizontal="center" vertical="center" wrapText="1"/>
    </xf>
    <xf numFmtId="167" fontId="1" fillId="0" borderId="28" xfId="4" applyNumberFormat="1" applyBorder="1" applyAlignment="1">
      <alignment horizontal="left" vertical="center"/>
    </xf>
    <xf numFmtId="167" fontId="1" fillId="0" borderId="8" xfId="4" applyNumberFormat="1" applyBorder="1" applyAlignment="1">
      <alignment horizontal="left" vertical="center"/>
    </xf>
    <xf numFmtId="167" fontId="1" fillId="0" borderId="30" xfId="4" applyNumberFormat="1" applyBorder="1" applyAlignment="1">
      <alignment horizontal="left" vertical="center"/>
    </xf>
    <xf numFmtId="167" fontId="1" fillId="0" borderId="40" xfId="4" applyNumberFormat="1" applyBorder="1" applyAlignment="1">
      <alignment horizontal="center" vertical="center"/>
    </xf>
    <xf numFmtId="167" fontId="1" fillId="0" borderId="41" xfId="4" applyNumberFormat="1" applyBorder="1" applyAlignment="1">
      <alignment horizontal="center" vertical="center"/>
    </xf>
    <xf numFmtId="167" fontId="0" fillId="0" borderId="28" xfId="4" applyNumberFormat="1"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2" fillId="2" borderId="1" xfId="3" applyFont="1" applyFill="1" applyBorder="1" applyAlignment="1">
      <alignment horizontal="center" vertical="center"/>
    </xf>
    <xf numFmtId="0" fontId="12" fillId="2" borderId="38" xfId="3" applyFont="1" applyFill="1" applyBorder="1" applyAlignment="1">
      <alignment horizontal="center" vertical="center"/>
    </xf>
    <xf numFmtId="168" fontId="13" fillId="2" borderId="31" xfId="1" applyNumberFormat="1" applyFont="1" applyFill="1" applyBorder="1" applyAlignment="1">
      <alignment horizontal="center" vertical="center"/>
    </xf>
    <xf numFmtId="168" fontId="13" fillId="2" borderId="33" xfId="1" applyNumberFormat="1" applyFont="1" applyFill="1" applyBorder="1" applyAlignment="1">
      <alignment horizontal="center" vertical="center"/>
    </xf>
    <xf numFmtId="166" fontId="9" fillId="7" borderId="1" xfId="7" applyBorder="1">
      <alignment horizontal="center" vertical="center"/>
    </xf>
    <xf numFmtId="166" fontId="9" fillId="7" borderId="4" xfId="7" applyBorder="1">
      <alignment horizontal="center" vertical="center"/>
    </xf>
    <xf numFmtId="166" fontId="9" fillId="7" borderId="2" xfId="7" applyBorder="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cellXfs>
  <cellStyles count="8">
    <cellStyle name="Comma" xfId="5" builtinId="3"/>
    <cellStyle name="Comma [0]" xfId="4" builtinId="6"/>
    <cellStyle name="Currency" xfId="1" builtinId="4"/>
    <cellStyle name="Normal" xfId="0" builtinId="0"/>
    <cellStyle name="Normal 2" xfId="3" xr:uid="{00000000-0005-0000-0000-000003000000}"/>
    <cellStyle name="Percent" xfId="2" builtinId="5"/>
    <cellStyle name="Red Black" xfId="6" xr:uid="{0F54905F-2056-4E4F-8E44-7FDF9D9845F7}"/>
    <cellStyle name="White Grey" xfId="7" xr:uid="{A6308846-16A9-4722-9A34-41333D4946BC}"/>
  </cellStyles>
  <dxfs count="0"/>
  <tableStyles count="0" defaultTableStyle="TableStyleMedium2" defaultPivotStyle="PivotStyleLight16"/>
  <colors>
    <mruColors>
      <color rgb="FF09B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38"/>
  <sheetViews>
    <sheetView view="pageBreakPreview" topLeftCell="A22" zoomScale="85" zoomScaleNormal="100" zoomScaleSheetLayoutView="55" workbookViewId="0">
      <selection activeCell="G17" activeCellId="2" sqref="B3:K3 B17:E17 G17:K17"/>
    </sheetView>
  </sheetViews>
  <sheetFormatPr defaultColWidth="9.33203125" defaultRowHeight="14.4" x14ac:dyDescent="0.3"/>
  <cols>
    <col min="1" max="1" width="9.6640625" style="30" customWidth="1"/>
    <col min="2" max="2" width="15.33203125" style="134" customWidth="1"/>
    <col min="3" max="3" width="52.5546875" style="30" customWidth="1"/>
    <col min="4" max="4" width="15.6640625" style="30" customWidth="1"/>
    <col min="5" max="6" width="14.6640625" style="135" customWidth="1"/>
    <col min="7" max="7" width="14.33203125" style="135" customWidth="1"/>
    <col min="8" max="8" width="16.6640625" style="135" bestFit="1" customWidth="1"/>
    <col min="9" max="10" width="14.33203125" style="135" customWidth="1"/>
    <col min="11" max="11" width="19.33203125" style="135" customWidth="1"/>
    <col min="12" max="12" width="10.6640625" style="30" customWidth="1"/>
    <col min="13" max="16384" width="9.33203125" style="30"/>
  </cols>
  <sheetData>
    <row r="1" spans="1:15" ht="37.5" customHeight="1" thickBot="1" x14ac:dyDescent="0.35">
      <c r="A1" s="316" t="str">
        <f>+Estimate!A1</f>
        <v>PROJECT NAME: WEST DEPTFORD WATER &amp; SEWER OFFICE BUILDING
DATE: 04/08/2024</v>
      </c>
      <c r="B1" s="317"/>
      <c r="C1" s="317"/>
      <c r="D1" s="317"/>
      <c r="E1" s="317"/>
      <c r="F1" s="317"/>
      <c r="G1" s="317"/>
      <c r="H1" s="317"/>
      <c r="I1" s="317"/>
      <c r="J1" s="317"/>
      <c r="K1" s="317"/>
      <c r="L1" s="318"/>
    </row>
    <row r="2" spans="1:15" ht="15" thickBot="1" x14ac:dyDescent="0.35">
      <c r="A2" s="133"/>
      <c r="L2" s="136"/>
    </row>
    <row r="3" spans="1:15" ht="30" customHeight="1" thickBot="1" x14ac:dyDescent="0.35">
      <c r="A3" s="133"/>
      <c r="B3" s="319" t="s">
        <v>70</v>
      </c>
      <c r="C3" s="320"/>
      <c r="D3" s="320"/>
      <c r="E3" s="320"/>
      <c r="F3" s="320"/>
      <c r="G3" s="320"/>
      <c r="H3" s="320"/>
      <c r="I3" s="320"/>
      <c r="J3" s="320"/>
      <c r="K3" s="321"/>
      <c r="L3" s="136"/>
    </row>
    <row r="4" spans="1:15" ht="27.75" customHeight="1" thickBot="1" x14ac:dyDescent="0.35">
      <c r="A4" s="133"/>
      <c r="B4" s="147" t="s">
        <v>36</v>
      </c>
      <c r="C4" s="148" t="s">
        <v>1</v>
      </c>
      <c r="D4" s="149" t="s">
        <v>61</v>
      </c>
      <c r="E4" s="150" t="s">
        <v>62</v>
      </c>
      <c r="F4" s="150" t="s">
        <v>63</v>
      </c>
      <c r="G4" s="150" t="s">
        <v>64</v>
      </c>
      <c r="H4" s="150" t="s">
        <v>65</v>
      </c>
      <c r="I4" s="150" t="s">
        <v>66</v>
      </c>
      <c r="J4" s="150" t="s">
        <v>67</v>
      </c>
      <c r="K4" s="151" t="s">
        <v>68</v>
      </c>
      <c r="L4" s="136"/>
    </row>
    <row r="5" spans="1:15" ht="25.35" customHeight="1" x14ac:dyDescent="0.3">
      <c r="A5" s="133"/>
      <c r="B5" s="111">
        <v>1</v>
      </c>
      <c r="C5" s="112" t="s">
        <v>18</v>
      </c>
      <c r="D5" s="181">
        <f>Estimate!I117</f>
        <v>22206.289944705884</v>
      </c>
      <c r="E5" s="153">
        <f>Estimate!L117</f>
        <v>51178.255975000007</v>
      </c>
      <c r="F5" s="153">
        <f t="shared" ref="F5:F12" si="0">D5*$D$19</f>
        <v>1471.1667088367649</v>
      </c>
      <c r="G5" s="153">
        <f t="shared" ref="G5:G12" si="1">E5*$D$22</f>
        <v>0</v>
      </c>
      <c r="H5" s="153">
        <f>D5+E5+F5+G5</f>
        <v>74855.712628542664</v>
      </c>
      <c r="I5" s="153">
        <f t="shared" ref="I5:I12" si="2">H5*$D$24</f>
        <v>7485.5712628542669</v>
      </c>
      <c r="J5" s="153">
        <f t="shared" ref="J5:J12" si="3">H5*$D$25</f>
        <v>7485.5712628542669</v>
      </c>
      <c r="K5" s="154">
        <f>H5+I5+J5</f>
        <v>89826.8551542512</v>
      </c>
      <c r="L5" s="136"/>
    </row>
    <row r="6" spans="1:15" ht="25.35" customHeight="1" x14ac:dyDescent="0.3">
      <c r="A6" s="133"/>
      <c r="B6" s="25">
        <v>2</v>
      </c>
      <c r="C6" s="7" t="s">
        <v>27</v>
      </c>
      <c r="D6" s="155">
        <f>Estimate!I163</f>
        <v>2044.4106500000003</v>
      </c>
      <c r="E6" s="8">
        <f>Estimate!L163</f>
        <v>12274.841902399996</v>
      </c>
      <c r="F6" s="8">
        <f t="shared" si="0"/>
        <v>135.44220556250002</v>
      </c>
      <c r="G6" s="8">
        <f t="shared" si="1"/>
        <v>0</v>
      </c>
      <c r="H6" s="8">
        <f t="shared" ref="H6:H12" si="4">D6+E6+F6+G6</f>
        <v>14454.694757962496</v>
      </c>
      <c r="I6" s="8">
        <f t="shared" si="2"/>
        <v>1445.4694757962498</v>
      </c>
      <c r="J6" s="8">
        <f t="shared" si="3"/>
        <v>1445.4694757962498</v>
      </c>
      <c r="K6" s="156">
        <f t="shared" ref="K6:K12" si="5">H6+I6+J6</f>
        <v>17345.633709554997</v>
      </c>
      <c r="L6" s="136"/>
      <c r="M6" s="135"/>
      <c r="N6" s="135"/>
      <c r="O6" s="135"/>
    </row>
    <row r="7" spans="1:15" ht="25.35" customHeight="1" x14ac:dyDescent="0.3">
      <c r="A7" s="133"/>
      <c r="B7" s="25">
        <v>3</v>
      </c>
      <c r="C7" s="7" t="s">
        <v>22</v>
      </c>
      <c r="D7" s="155">
        <f>Estimate!I220</f>
        <v>3344.8283999999994</v>
      </c>
      <c r="E7" s="8">
        <f>Estimate!L220</f>
        <v>4751.5529600000009</v>
      </c>
      <c r="F7" s="8">
        <f t="shared" si="0"/>
        <v>221.59488149999999</v>
      </c>
      <c r="G7" s="8">
        <f t="shared" si="1"/>
        <v>0</v>
      </c>
      <c r="H7" s="8">
        <f t="shared" si="4"/>
        <v>8317.9762415000005</v>
      </c>
      <c r="I7" s="8">
        <f t="shared" si="2"/>
        <v>831.79762415000005</v>
      </c>
      <c r="J7" s="8">
        <f t="shared" si="3"/>
        <v>831.79762415000005</v>
      </c>
      <c r="K7" s="156">
        <f t="shared" si="5"/>
        <v>9981.5714898000006</v>
      </c>
      <c r="L7" s="136"/>
      <c r="M7" s="135"/>
      <c r="N7" s="135"/>
      <c r="O7" s="135"/>
    </row>
    <row r="8" spans="1:15" ht="25.35" customHeight="1" x14ac:dyDescent="0.3">
      <c r="A8" s="133"/>
      <c r="B8" s="25">
        <v>4</v>
      </c>
      <c r="C8" s="7" t="s">
        <v>23</v>
      </c>
      <c r="D8" s="155">
        <f>Estimate!I245</f>
        <v>314.82000000000005</v>
      </c>
      <c r="E8" s="8">
        <f>Estimate!L245</f>
        <v>7328.7983999999997</v>
      </c>
      <c r="F8" s="8">
        <f t="shared" si="0"/>
        <v>20.856825000000004</v>
      </c>
      <c r="G8" s="8">
        <f t="shared" si="1"/>
        <v>0</v>
      </c>
      <c r="H8" s="8">
        <f t="shared" si="4"/>
        <v>7664.4752249999992</v>
      </c>
      <c r="I8" s="8">
        <f t="shared" si="2"/>
        <v>766.44752249999999</v>
      </c>
      <c r="J8" s="8">
        <f t="shared" si="3"/>
        <v>766.44752249999999</v>
      </c>
      <c r="K8" s="156">
        <f t="shared" si="5"/>
        <v>9197.3702699999994</v>
      </c>
      <c r="L8" s="136"/>
      <c r="M8" s="135"/>
      <c r="N8" s="135"/>
      <c r="O8" s="135"/>
    </row>
    <row r="9" spans="1:15" ht="25.35" customHeight="1" x14ac:dyDescent="0.3">
      <c r="A9" s="133"/>
      <c r="B9" s="25">
        <v>5</v>
      </c>
      <c r="C9" s="7" t="s">
        <v>26</v>
      </c>
      <c r="D9" s="155">
        <f>Estimate!I276</f>
        <v>270.74420000000003</v>
      </c>
      <c r="E9" s="8">
        <f>Estimate!L276</f>
        <v>2157.3237840000002</v>
      </c>
      <c r="F9" s="8">
        <f t="shared" si="0"/>
        <v>17.936803250000004</v>
      </c>
      <c r="G9" s="8">
        <f t="shared" si="1"/>
        <v>0</v>
      </c>
      <c r="H9" s="8">
        <f t="shared" si="4"/>
        <v>2446.0047872500004</v>
      </c>
      <c r="I9" s="8">
        <f t="shared" si="2"/>
        <v>244.60047872500004</v>
      </c>
      <c r="J9" s="8">
        <f t="shared" si="3"/>
        <v>244.60047872500004</v>
      </c>
      <c r="K9" s="156">
        <f t="shared" si="5"/>
        <v>2935.2057447000002</v>
      </c>
      <c r="L9" s="136"/>
      <c r="M9" s="135"/>
      <c r="N9" s="135"/>
      <c r="O9" s="135"/>
    </row>
    <row r="10" spans="1:15" ht="25.35" customHeight="1" x14ac:dyDescent="0.3">
      <c r="A10" s="133"/>
      <c r="B10" s="25">
        <v>6</v>
      </c>
      <c r="C10" s="7" t="s">
        <v>175</v>
      </c>
      <c r="D10" s="155">
        <f>Estimate!I307</f>
        <v>820.65852999999993</v>
      </c>
      <c r="E10" s="8">
        <f>Estimate!L307</f>
        <v>5084.3271248000001</v>
      </c>
      <c r="F10" s="8">
        <f t="shared" si="0"/>
        <v>54.368627612499999</v>
      </c>
      <c r="G10" s="8">
        <f t="shared" si="1"/>
        <v>0</v>
      </c>
      <c r="H10" s="8">
        <f t="shared" si="4"/>
        <v>5959.3542824124997</v>
      </c>
      <c r="I10" s="8">
        <f t="shared" si="2"/>
        <v>595.93542824124995</v>
      </c>
      <c r="J10" s="8">
        <f t="shared" si="3"/>
        <v>595.93542824124995</v>
      </c>
      <c r="K10" s="156">
        <f t="shared" si="5"/>
        <v>7151.225138894999</v>
      </c>
      <c r="L10" s="136"/>
      <c r="M10" s="135"/>
      <c r="N10" s="135"/>
      <c r="O10" s="135"/>
    </row>
    <row r="11" spans="1:15" ht="25.35" customHeight="1" x14ac:dyDescent="0.3">
      <c r="A11" s="133"/>
      <c r="B11" s="25">
        <v>7</v>
      </c>
      <c r="C11" s="7" t="s">
        <v>206</v>
      </c>
      <c r="D11" s="155">
        <f>Estimate!I338</f>
        <v>1200.2110600000001</v>
      </c>
      <c r="E11" s="8">
        <f>Estimate!L338</f>
        <v>4403.1576511999992</v>
      </c>
      <c r="F11" s="8">
        <f t="shared" si="0"/>
        <v>79.513982725000005</v>
      </c>
      <c r="G11" s="8">
        <f t="shared" si="1"/>
        <v>0</v>
      </c>
      <c r="H11" s="8">
        <f t="shared" ref="H11" si="6">D11+E11+F11+G11</f>
        <v>5682.8826939249993</v>
      </c>
      <c r="I11" s="8">
        <f t="shared" si="2"/>
        <v>568.28826939249996</v>
      </c>
      <c r="J11" s="8">
        <f t="shared" si="3"/>
        <v>568.28826939249996</v>
      </c>
      <c r="K11" s="156">
        <f t="shared" ref="K11" si="7">H11+I11+J11</f>
        <v>6819.4592327099999</v>
      </c>
      <c r="L11" s="136"/>
      <c r="M11" s="135"/>
      <c r="N11" s="135"/>
      <c r="O11" s="135"/>
    </row>
    <row r="12" spans="1:15" ht="25.35" customHeight="1" x14ac:dyDescent="0.3">
      <c r="A12" s="133"/>
      <c r="B12" s="25">
        <v>8</v>
      </c>
      <c r="C12" s="7" t="s">
        <v>177</v>
      </c>
      <c r="D12" s="155">
        <f>Estimate!I363</f>
        <v>193.85402999999999</v>
      </c>
      <c r="E12" s="8">
        <f>Estimate!L363</f>
        <v>2464.9702923999998</v>
      </c>
      <c r="F12" s="8">
        <f t="shared" si="0"/>
        <v>12.8428294875</v>
      </c>
      <c r="G12" s="8">
        <f t="shared" si="1"/>
        <v>0</v>
      </c>
      <c r="H12" s="8">
        <f t="shared" si="4"/>
        <v>2671.6671518874996</v>
      </c>
      <c r="I12" s="8">
        <f t="shared" si="2"/>
        <v>267.16671518874995</v>
      </c>
      <c r="J12" s="8">
        <f t="shared" si="3"/>
        <v>267.16671518874995</v>
      </c>
      <c r="K12" s="156">
        <f t="shared" si="5"/>
        <v>3206.0005822649996</v>
      </c>
      <c r="L12" s="136"/>
      <c r="M12" s="135"/>
      <c r="N12" s="135"/>
      <c r="O12" s="135"/>
    </row>
    <row r="13" spans="1:15" ht="20.100000000000001" customHeight="1" x14ac:dyDescent="0.3">
      <c r="A13" s="133"/>
      <c r="B13" s="25"/>
      <c r="C13" s="7"/>
      <c r="D13" s="155"/>
      <c r="E13" s="8"/>
      <c r="F13" s="8"/>
      <c r="G13" s="8"/>
      <c r="H13" s="8"/>
      <c r="I13" s="8"/>
      <c r="J13" s="8"/>
      <c r="K13" s="156"/>
      <c r="L13" s="136"/>
      <c r="M13" s="135"/>
      <c r="N13" s="135"/>
      <c r="O13" s="135"/>
    </row>
    <row r="14" spans="1:15" ht="20.100000000000001" customHeight="1" x14ac:dyDescent="0.3">
      <c r="A14" s="133"/>
      <c r="B14" s="138"/>
      <c r="C14" s="152" t="s">
        <v>69</v>
      </c>
      <c r="D14" s="157">
        <f>SUM(D5:D13)</f>
        <v>30395.816814705886</v>
      </c>
      <c r="E14" s="157">
        <f t="shared" ref="E14:K14" si="8">SUM(E5:E13)</f>
        <v>89643.228089800003</v>
      </c>
      <c r="F14" s="157">
        <f t="shared" si="8"/>
        <v>2013.7228639742648</v>
      </c>
      <c r="G14" s="157">
        <f t="shared" si="8"/>
        <v>0</v>
      </c>
      <c r="H14" s="157">
        <f t="shared" si="8"/>
        <v>122052.76776848016</v>
      </c>
      <c r="I14" s="157">
        <f t="shared" si="8"/>
        <v>12205.276776848019</v>
      </c>
      <c r="J14" s="157">
        <f t="shared" si="8"/>
        <v>12205.276776848019</v>
      </c>
      <c r="K14" s="158">
        <f t="shared" si="8"/>
        <v>146463.3213221762</v>
      </c>
      <c r="L14" s="136"/>
      <c r="M14" s="135"/>
      <c r="N14" s="135"/>
      <c r="O14" s="135"/>
    </row>
    <row r="15" spans="1:15" ht="20.100000000000001" customHeight="1" thickBot="1" x14ac:dyDescent="0.35">
      <c r="A15" s="133"/>
      <c r="B15" s="140"/>
      <c r="C15" s="141"/>
      <c r="D15" s="159"/>
      <c r="E15" s="159"/>
      <c r="F15" s="159"/>
      <c r="G15" s="159"/>
      <c r="H15" s="159"/>
      <c r="I15" s="159"/>
      <c r="J15" s="159"/>
      <c r="K15" s="160"/>
      <c r="L15" s="136"/>
    </row>
    <row r="16" spans="1:15" ht="15" thickBot="1" x14ac:dyDescent="0.35">
      <c r="A16" s="133"/>
      <c r="L16" s="136"/>
    </row>
    <row r="17" spans="1:15" ht="30" customHeight="1" thickBot="1" x14ac:dyDescent="0.35">
      <c r="A17" s="133"/>
      <c r="B17" s="322" t="s">
        <v>60</v>
      </c>
      <c r="C17" s="323"/>
      <c r="D17" s="323"/>
      <c r="E17" s="324"/>
      <c r="F17" s="30"/>
      <c r="G17" s="322" t="s">
        <v>92</v>
      </c>
      <c r="H17" s="323"/>
      <c r="I17" s="323"/>
      <c r="J17" s="323"/>
      <c r="K17" s="324"/>
      <c r="L17" s="136"/>
    </row>
    <row r="18" spans="1:15" ht="25.35" customHeight="1" thickBot="1" x14ac:dyDescent="0.35">
      <c r="A18" s="133"/>
      <c r="B18" s="137">
        <v>1</v>
      </c>
      <c r="C18" s="162" t="s">
        <v>71</v>
      </c>
      <c r="D18" s="166"/>
      <c r="E18" s="163">
        <f>D14</f>
        <v>30395.816814705886</v>
      </c>
      <c r="F18" s="30"/>
      <c r="G18" s="111">
        <v>1</v>
      </c>
      <c r="H18" s="325" t="s">
        <v>88</v>
      </c>
      <c r="I18" s="325"/>
      <c r="J18" s="325"/>
      <c r="K18" s="195">
        <f>+Estimate!N367</f>
        <v>736.83402999999919</v>
      </c>
      <c r="L18" s="136"/>
    </row>
    <row r="19" spans="1:15" ht="25.35" customHeight="1" thickBot="1" x14ac:dyDescent="0.35">
      <c r="A19" s="133"/>
      <c r="B19" s="25"/>
      <c r="C19" s="165" t="s">
        <v>73</v>
      </c>
      <c r="D19" s="301">
        <v>6.6250000000000003E-2</v>
      </c>
      <c r="E19" s="167">
        <f>E18*D19</f>
        <v>2013.722863974265</v>
      </c>
      <c r="F19" s="30"/>
      <c r="G19" s="25">
        <v>2</v>
      </c>
      <c r="H19" s="331" t="s">
        <v>89</v>
      </c>
      <c r="I19" s="331"/>
      <c r="J19" s="331"/>
      <c r="K19" s="176">
        <f>K18/8</f>
        <v>92.104253749999899</v>
      </c>
      <c r="L19" s="136"/>
    </row>
    <row r="20" spans="1:15" ht="25.35" customHeight="1" x14ac:dyDescent="0.3">
      <c r="A20" s="133"/>
      <c r="B20" s="25"/>
      <c r="C20" s="26" t="s">
        <v>79</v>
      </c>
      <c r="D20" s="171"/>
      <c r="E20" s="204">
        <v>0</v>
      </c>
      <c r="F20" s="30"/>
      <c r="G20" s="25">
        <v>3</v>
      </c>
      <c r="H20" s="331" t="s">
        <v>83</v>
      </c>
      <c r="I20" s="331"/>
      <c r="J20" s="331"/>
      <c r="K20" s="176">
        <f>J21+J22+J23</f>
        <v>5</v>
      </c>
      <c r="L20" s="136"/>
    </row>
    <row r="21" spans="1:15" ht="25.35" customHeight="1" thickBot="1" x14ac:dyDescent="0.35">
      <c r="A21" s="133"/>
      <c r="B21" s="25">
        <v>2</v>
      </c>
      <c r="C21" s="164" t="s">
        <v>72</v>
      </c>
      <c r="D21" s="168"/>
      <c r="E21" s="139">
        <f>E14</f>
        <v>89643.228089800003</v>
      </c>
      <c r="F21" s="30"/>
      <c r="G21" s="25">
        <v>4</v>
      </c>
      <c r="H21" s="331" t="s">
        <v>85</v>
      </c>
      <c r="I21" s="331"/>
      <c r="J21" s="174">
        <v>3</v>
      </c>
      <c r="K21" s="175">
        <v>85</v>
      </c>
      <c r="L21" s="136"/>
      <c r="M21" s="135"/>
      <c r="N21" s="135"/>
      <c r="O21" s="135"/>
    </row>
    <row r="22" spans="1:15" ht="25.35" customHeight="1" thickBot="1" x14ac:dyDescent="0.35">
      <c r="A22" s="133"/>
      <c r="B22" s="25"/>
      <c r="C22" s="165" t="s">
        <v>64</v>
      </c>
      <c r="D22" s="170"/>
      <c r="E22" s="167">
        <f>E21*D22</f>
        <v>0</v>
      </c>
      <c r="F22" s="30"/>
      <c r="G22" s="25">
        <v>5</v>
      </c>
      <c r="H22" s="331" t="s">
        <v>86</v>
      </c>
      <c r="I22" s="331"/>
      <c r="J22" s="174">
        <v>1</v>
      </c>
      <c r="K22" s="175">
        <v>105</v>
      </c>
      <c r="L22" s="136"/>
      <c r="M22" s="135"/>
      <c r="N22" s="135"/>
      <c r="O22" s="135"/>
    </row>
    <row r="23" spans="1:15" ht="25.35" customHeight="1" thickBot="1" x14ac:dyDescent="0.35">
      <c r="A23" s="133"/>
      <c r="B23" s="25">
        <v>3</v>
      </c>
      <c r="C23" s="164" t="s">
        <v>65</v>
      </c>
      <c r="D23" s="168"/>
      <c r="E23" s="139">
        <f>SUM(E18:E22)</f>
        <v>122052.76776848015</v>
      </c>
      <c r="F23" s="30"/>
      <c r="G23" s="25">
        <v>6</v>
      </c>
      <c r="H23" s="331" t="s">
        <v>87</v>
      </c>
      <c r="I23" s="331"/>
      <c r="J23" s="174">
        <v>1</v>
      </c>
      <c r="K23" s="175">
        <v>55</v>
      </c>
      <c r="L23" s="136"/>
      <c r="M23" s="135"/>
      <c r="N23" s="135"/>
      <c r="O23" s="135"/>
    </row>
    <row r="24" spans="1:15" ht="25.35" customHeight="1" thickBot="1" x14ac:dyDescent="0.35">
      <c r="A24" s="133"/>
      <c r="B24" s="25"/>
      <c r="C24" s="165" t="s">
        <v>74</v>
      </c>
      <c r="D24" s="203">
        <v>0.1</v>
      </c>
      <c r="E24" s="167">
        <f>E23*D24</f>
        <v>12205.276776848015</v>
      </c>
      <c r="F24" s="30"/>
      <c r="G24" s="25">
        <v>7</v>
      </c>
      <c r="H24" s="331" t="s">
        <v>43</v>
      </c>
      <c r="I24" s="331"/>
      <c r="J24" s="331"/>
      <c r="K24" s="175">
        <v>121.66</v>
      </c>
      <c r="L24" s="136"/>
      <c r="M24" s="135"/>
      <c r="N24" s="135"/>
      <c r="O24" s="135"/>
    </row>
    <row r="25" spans="1:15" ht="25.35" customHeight="1" thickBot="1" x14ac:dyDescent="0.35">
      <c r="A25" s="133"/>
      <c r="B25" s="25"/>
      <c r="C25" s="165" t="s">
        <v>81</v>
      </c>
      <c r="D25" s="203">
        <v>0.1</v>
      </c>
      <c r="E25" s="167">
        <f>E23*D25</f>
        <v>12205.276776848015</v>
      </c>
      <c r="F25" s="30"/>
      <c r="G25" s="140">
        <v>8</v>
      </c>
      <c r="H25" s="330" t="s">
        <v>90</v>
      </c>
      <c r="I25" s="330"/>
      <c r="J25" s="330"/>
      <c r="K25" s="160" t="s">
        <v>91</v>
      </c>
      <c r="L25" s="136"/>
      <c r="M25" s="135"/>
      <c r="N25" s="135"/>
      <c r="O25" s="135"/>
    </row>
    <row r="26" spans="1:15" ht="25.35" customHeight="1" thickBot="1" x14ac:dyDescent="0.35">
      <c r="A26" s="133"/>
      <c r="B26" s="25">
        <v>4</v>
      </c>
      <c r="C26" s="164" t="s">
        <v>80</v>
      </c>
      <c r="D26" s="169"/>
      <c r="E26" s="139">
        <f>SUM(E23:E25)</f>
        <v>146463.32132217617</v>
      </c>
      <c r="F26" s="30"/>
      <c r="G26" s="134"/>
      <c r="H26" s="178"/>
      <c r="I26" s="179"/>
      <c r="J26" s="180"/>
      <c r="K26" s="30"/>
      <c r="L26" s="136"/>
      <c r="M26" s="135"/>
      <c r="N26" s="135"/>
      <c r="O26" s="135"/>
    </row>
    <row r="27" spans="1:15" ht="25.35" customHeight="1" thickBot="1" x14ac:dyDescent="0.35">
      <c r="A27" s="133"/>
      <c r="B27" s="25"/>
      <c r="C27" s="165" t="s">
        <v>75</v>
      </c>
      <c r="D27" s="170"/>
      <c r="E27" s="167">
        <f>D27*E26</f>
        <v>0</v>
      </c>
      <c r="F27" s="30"/>
      <c r="G27" s="205"/>
      <c r="H27" s="327" t="s">
        <v>93</v>
      </c>
      <c r="I27" s="328"/>
      <c r="J27" s="328"/>
      <c r="K27" s="329"/>
      <c r="L27" s="136"/>
      <c r="M27" s="135"/>
      <c r="N27" s="135"/>
      <c r="O27" s="135"/>
    </row>
    <row r="28" spans="1:15" ht="25.35" customHeight="1" x14ac:dyDescent="0.3">
      <c r="A28" s="133"/>
      <c r="B28" s="25"/>
      <c r="C28" s="26" t="s">
        <v>76</v>
      </c>
      <c r="D28" s="172"/>
      <c r="E28" s="204">
        <v>0</v>
      </c>
      <c r="F28" s="30"/>
      <c r="G28" s="134"/>
      <c r="H28" s="30"/>
      <c r="I28" s="179"/>
      <c r="J28" s="30"/>
      <c r="K28" s="30"/>
      <c r="L28" s="136"/>
      <c r="M28" s="135"/>
      <c r="N28" s="135"/>
      <c r="O28" s="135"/>
    </row>
    <row r="29" spans="1:15" ht="25.35" customHeight="1" x14ac:dyDescent="0.3">
      <c r="A29" s="133"/>
      <c r="B29" s="25"/>
      <c r="C29" s="26" t="s">
        <v>84</v>
      </c>
      <c r="D29" s="172"/>
      <c r="E29" s="204">
        <v>0</v>
      </c>
      <c r="F29" s="30"/>
      <c r="G29" s="134"/>
      <c r="H29" s="30"/>
      <c r="I29" s="179"/>
      <c r="J29" s="30"/>
      <c r="K29" s="30"/>
      <c r="L29" s="136"/>
      <c r="M29" s="135"/>
      <c r="N29" s="135"/>
      <c r="O29" s="135"/>
    </row>
    <row r="30" spans="1:15" ht="25.35" customHeight="1" thickBot="1" x14ac:dyDescent="0.35">
      <c r="A30" s="133"/>
      <c r="B30" s="25"/>
      <c r="C30" s="26" t="s">
        <v>77</v>
      </c>
      <c r="D30" s="173"/>
      <c r="E30" s="204">
        <v>0</v>
      </c>
      <c r="F30" s="30"/>
      <c r="G30" s="134"/>
      <c r="H30" s="30"/>
      <c r="I30" s="179"/>
      <c r="J30" s="30"/>
      <c r="K30" s="30"/>
      <c r="L30" s="136"/>
      <c r="M30" s="135"/>
      <c r="N30" s="135"/>
      <c r="O30" s="135"/>
    </row>
    <row r="31" spans="1:15" ht="25.35" customHeight="1" thickBot="1" x14ac:dyDescent="0.35">
      <c r="A31" s="133"/>
      <c r="B31" s="25"/>
      <c r="C31" s="165" t="s">
        <v>78</v>
      </c>
      <c r="D31" s="170"/>
      <c r="E31" s="167">
        <f>D31*E26</f>
        <v>0</v>
      </c>
      <c r="F31" s="30"/>
      <c r="G31" s="134"/>
      <c r="H31" s="30"/>
      <c r="I31" s="177"/>
      <c r="K31" s="30"/>
      <c r="L31" s="136"/>
      <c r="M31" s="135"/>
      <c r="N31" s="135"/>
      <c r="O31" s="135"/>
    </row>
    <row r="32" spans="1:15" ht="25.35" customHeight="1" thickBot="1" x14ac:dyDescent="0.35">
      <c r="A32" s="133"/>
      <c r="B32" s="196"/>
      <c r="C32" s="197"/>
      <c r="D32" s="198"/>
      <c r="E32" s="199"/>
      <c r="F32" s="30"/>
      <c r="G32" s="134"/>
      <c r="H32" s="30"/>
      <c r="I32" s="161"/>
      <c r="J32" s="30"/>
      <c r="K32" s="30"/>
      <c r="L32" s="136"/>
      <c r="M32" s="135"/>
      <c r="N32" s="135"/>
      <c r="O32" s="135"/>
    </row>
    <row r="33" spans="1:15" ht="25.35" customHeight="1" thickBot="1" x14ac:dyDescent="0.35">
      <c r="A33" s="133"/>
      <c r="B33" s="200">
        <v>5</v>
      </c>
      <c r="C33" s="201" t="s">
        <v>82</v>
      </c>
      <c r="D33" s="202"/>
      <c r="E33" s="313">
        <f>SUM(E26:E32)</f>
        <v>146463.32132217617</v>
      </c>
      <c r="F33" s="30"/>
      <c r="G33" s="134"/>
      <c r="H33" s="178"/>
      <c r="I33" s="30"/>
      <c r="K33" s="30"/>
      <c r="L33" s="136"/>
      <c r="M33" s="135"/>
      <c r="N33" s="135"/>
      <c r="O33" s="135"/>
    </row>
    <row r="34" spans="1:15" x14ac:dyDescent="0.3">
      <c r="A34" s="133"/>
      <c r="B34" s="30"/>
      <c r="E34" s="30"/>
      <c r="F34" s="30"/>
      <c r="G34" s="30"/>
      <c r="H34" s="30"/>
      <c r="I34" s="30"/>
      <c r="J34" s="30"/>
      <c r="K34" s="30"/>
      <c r="L34" s="136"/>
    </row>
    <row r="35" spans="1:15" ht="15" thickBot="1" x14ac:dyDescent="0.35">
      <c r="A35" s="142"/>
      <c r="B35" s="143"/>
      <c r="C35" s="144"/>
      <c r="D35" s="144"/>
      <c r="E35" s="145"/>
      <c r="F35" s="145"/>
      <c r="G35" s="145"/>
      <c r="H35" s="145"/>
      <c r="I35" s="145"/>
      <c r="J35" s="145"/>
      <c r="K35" s="145"/>
      <c r="L35" s="146"/>
    </row>
    <row r="36" spans="1:15" x14ac:dyDescent="0.3">
      <c r="A36" s="206"/>
      <c r="B36" s="207"/>
      <c r="C36" s="208"/>
      <c r="D36" s="208"/>
      <c r="E36" s="209"/>
      <c r="F36" s="209"/>
      <c r="G36" s="209"/>
      <c r="H36" s="209"/>
      <c r="I36" s="209"/>
      <c r="J36" s="209"/>
      <c r="K36" s="209"/>
      <c r="L36" s="210"/>
    </row>
    <row r="37" spans="1:15" ht="60" customHeight="1" x14ac:dyDescent="0.3">
      <c r="A37" s="133"/>
      <c r="B37" s="326" t="s">
        <v>100</v>
      </c>
      <c r="C37" s="326"/>
      <c r="D37" s="326"/>
      <c r="E37" s="326"/>
      <c r="F37" s="326"/>
      <c r="G37" s="326"/>
      <c r="H37" s="326"/>
      <c r="I37" s="326"/>
      <c r="J37" s="326"/>
      <c r="K37" s="326"/>
      <c r="L37" s="136"/>
    </row>
    <row r="38" spans="1:15" ht="15" thickBot="1" x14ac:dyDescent="0.35">
      <c r="A38" s="142"/>
      <c r="B38" s="143"/>
      <c r="C38" s="144"/>
      <c r="D38" s="144"/>
      <c r="E38" s="145"/>
      <c r="F38" s="145"/>
      <c r="G38" s="145"/>
      <c r="H38" s="145"/>
      <c r="I38" s="145"/>
      <c r="J38" s="145"/>
      <c r="K38" s="145"/>
      <c r="L38" s="146"/>
    </row>
  </sheetData>
  <mergeCells count="14">
    <mergeCell ref="B37:K37"/>
    <mergeCell ref="H27:K27"/>
    <mergeCell ref="H25:J25"/>
    <mergeCell ref="H19:J19"/>
    <mergeCell ref="H20:J20"/>
    <mergeCell ref="H24:J24"/>
    <mergeCell ref="H21:I21"/>
    <mergeCell ref="H22:I22"/>
    <mergeCell ref="H23:I23"/>
    <mergeCell ref="A1:L1"/>
    <mergeCell ref="B3:K3"/>
    <mergeCell ref="B17:E17"/>
    <mergeCell ref="G17:K17"/>
    <mergeCell ref="H18:J18"/>
  </mergeCells>
  <printOptions horizontalCentered="1"/>
  <pageMargins left="0.70866141732283472" right="0.70866141732283472" top="0.74803149606299213" bottom="0.74803149606299213" header="0.31496062992125984" footer="0.31496062992125984"/>
  <pageSetup paperSize="9" scale="39" orientation="portrait" r:id="rId1"/>
  <ignoredErrors>
    <ignoredError sqref="E22:E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403"/>
  <sheetViews>
    <sheetView tabSelected="1" view="pageBreakPreview" zoomScale="85" zoomScaleNormal="85" zoomScaleSheetLayoutView="85" workbookViewId="0">
      <pane ySplit="4" topLeftCell="A5" activePane="bottomLeft" state="frozen"/>
      <selection pane="bottomLeft" activeCell="D274" activeCellId="4" sqref="K2:O2 K3:O3 D115:J115 D243:J243 D274:J274"/>
    </sheetView>
  </sheetViews>
  <sheetFormatPr defaultColWidth="8.6640625" defaultRowHeight="14.4" x14ac:dyDescent="0.3"/>
  <cols>
    <col min="1" max="1" width="5.6640625" style="17" customWidth="1"/>
    <col min="2" max="2" width="11.6640625" style="99" bestFit="1" customWidth="1"/>
    <col min="3" max="3" width="14.6640625" style="17" bestFit="1" customWidth="1"/>
    <col min="4" max="4" width="65.6640625" style="102" customWidth="1"/>
    <col min="5" max="5" width="10.6640625" style="130" customWidth="1"/>
    <col min="6" max="6" width="10.6640625" style="99" customWidth="1"/>
    <col min="7" max="7" width="11.6640625" style="130" customWidth="1"/>
    <col min="8" max="8" width="11.6640625" style="99" customWidth="1"/>
    <col min="9" max="9" width="15.33203125" style="12" bestFit="1" customWidth="1"/>
    <col min="10" max="10" width="12.6640625" style="12" customWidth="1"/>
    <col min="11" max="11" width="14.5546875" style="12" customWidth="1"/>
    <col min="12" max="12" width="14.33203125" style="104" bestFit="1" customWidth="1"/>
    <col min="13" max="13" width="13.5546875" style="104" customWidth="1"/>
    <col min="14" max="14" width="12.6640625" style="12" customWidth="1"/>
    <col min="15" max="15" width="12.6640625" style="105" customWidth="1"/>
    <col min="16" max="16" width="15.33203125" style="110" customWidth="1"/>
    <col min="17" max="16384" width="8.6640625" style="17"/>
  </cols>
  <sheetData>
    <row r="1" spans="1:16" ht="50.1" customHeight="1" thickBot="1" x14ac:dyDescent="0.35">
      <c r="A1" s="377" t="s">
        <v>103</v>
      </c>
      <c r="B1" s="378"/>
      <c r="C1" s="378"/>
      <c r="D1" s="378"/>
      <c r="E1" s="378"/>
      <c r="F1" s="378"/>
      <c r="G1" s="378"/>
      <c r="H1" s="378"/>
      <c r="I1" s="378"/>
      <c r="J1" s="378"/>
      <c r="K1" s="379"/>
      <c r="L1" s="322" t="s">
        <v>30</v>
      </c>
      <c r="M1" s="324"/>
      <c r="N1" s="322">
        <f>'Bid Recap &amp; Summary'!E33</f>
        <v>146463.32132217617</v>
      </c>
      <c r="O1" s="324"/>
      <c r="P1" s="69"/>
    </row>
    <row r="2" spans="1:16" ht="27.75" customHeight="1" thickBot="1" x14ac:dyDescent="0.35">
      <c r="A2" s="226"/>
      <c r="B2" s="227"/>
      <c r="C2" s="227"/>
      <c r="D2" s="227"/>
      <c r="E2" s="120"/>
      <c r="F2" s="227"/>
      <c r="G2" s="120"/>
      <c r="H2" s="227"/>
      <c r="I2" s="184"/>
      <c r="J2" s="184"/>
      <c r="K2" s="374" t="s">
        <v>286</v>
      </c>
      <c r="L2" s="375"/>
      <c r="M2" s="375"/>
      <c r="N2" s="375"/>
      <c r="O2" s="376"/>
      <c r="P2" s="69"/>
    </row>
    <row r="3" spans="1:16" ht="27.75" customHeight="1" thickBot="1" x14ac:dyDescent="0.35">
      <c r="A3" s="226"/>
      <c r="B3" s="227"/>
      <c r="C3" s="227"/>
      <c r="D3" s="227"/>
      <c r="E3" s="120"/>
      <c r="F3" s="227"/>
      <c r="G3" s="120"/>
      <c r="H3" s="227"/>
      <c r="I3" s="184"/>
      <c r="J3" s="184"/>
      <c r="K3" s="374" t="s">
        <v>289</v>
      </c>
      <c r="L3" s="375"/>
      <c r="M3" s="375"/>
      <c r="N3" s="375"/>
      <c r="O3" s="376"/>
      <c r="P3" s="69"/>
    </row>
    <row r="4" spans="1:16" ht="50.1" customHeight="1" thickBot="1" x14ac:dyDescent="0.35">
      <c r="A4" s="23" t="s">
        <v>0</v>
      </c>
      <c r="B4" s="23" t="s">
        <v>33</v>
      </c>
      <c r="C4" s="42" t="s">
        <v>34</v>
      </c>
      <c r="D4" s="23" t="s">
        <v>1</v>
      </c>
      <c r="E4" s="121" t="s">
        <v>2</v>
      </c>
      <c r="F4" s="23" t="s">
        <v>3</v>
      </c>
      <c r="G4" s="121" t="s">
        <v>4</v>
      </c>
      <c r="H4" s="23" t="s">
        <v>5</v>
      </c>
      <c r="I4" s="34" t="s">
        <v>32</v>
      </c>
      <c r="J4" s="34" t="s">
        <v>6</v>
      </c>
      <c r="K4" s="34" t="s">
        <v>44</v>
      </c>
      <c r="L4" s="35" t="s">
        <v>15</v>
      </c>
      <c r="M4" s="35" t="s">
        <v>16</v>
      </c>
      <c r="N4" s="34" t="s">
        <v>7</v>
      </c>
      <c r="O4" s="39" t="s">
        <v>29</v>
      </c>
      <c r="P4" s="79"/>
    </row>
    <row r="5" spans="1:16" ht="30" customHeight="1" thickBot="1" x14ac:dyDescent="0.35">
      <c r="A5" s="322" t="s">
        <v>18</v>
      </c>
      <c r="B5" s="323"/>
      <c r="C5" s="323"/>
      <c r="D5" s="323"/>
      <c r="E5" s="323"/>
      <c r="F5" s="323"/>
      <c r="G5" s="323"/>
      <c r="H5" s="324"/>
      <c r="I5" s="24"/>
      <c r="J5" s="186"/>
      <c r="K5" s="314">
        <f>'Bid Recap &amp; Summary'!K24</f>
        <v>121.66</v>
      </c>
      <c r="L5" s="80"/>
      <c r="M5" s="81"/>
      <c r="N5" s="186"/>
      <c r="O5" s="82"/>
      <c r="P5" s="83"/>
    </row>
    <row r="6" spans="1:16" ht="20.100000000000001" customHeight="1" thickBot="1" x14ac:dyDescent="0.35">
      <c r="A6" s="364" t="s">
        <v>8</v>
      </c>
      <c r="B6" s="365"/>
      <c r="C6" s="365"/>
      <c r="D6" s="366"/>
      <c r="E6" s="74"/>
      <c r="F6" s="1"/>
      <c r="G6" s="78"/>
      <c r="H6" s="2"/>
      <c r="I6" s="11"/>
      <c r="J6" s="187"/>
      <c r="K6" s="44"/>
      <c r="L6" s="3"/>
      <c r="M6" s="3"/>
      <c r="N6" s="4"/>
      <c r="O6" s="52"/>
      <c r="P6" s="70"/>
    </row>
    <row r="7" spans="1:16" x14ac:dyDescent="0.3">
      <c r="A7" s="32">
        <v>1</v>
      </c>
      <c r="B7" s="14"/>
      <c r="C7" s="15"/>
      <c r="D7" s="295" t="s">
        <v>215</v>
      </c>
      <c r="E7" s="71">
        <v>28</v>
      </c>
      <c r="F7" s="1">
        <v>0.1</v>
      </c>
      <c r="G7" s="78">
        <f t="shared" ref="G7:G13" si="0">E7+(E7*F7)</f>
        <v>30.8</v>
      </c>
      <c r="H7" s="5" t="s">
        <v>9</v>
      </c>
      <c r="I7" s="286">
        <f>1064.43/100</f>
        <v>10.644300000000001</v>
      </c>
      <c r="J7" s="286">
        <f t="shared" ref="J7:J13" si="1">I7*G7</f>
        <v>327.84444000000002</v>
      </c>
      <c r="K7" s="9">
        <f t="shared" ref="K7:K13" si="2">$K$5</f>
        <v>121.66</v>
      </c>
      <c r="L7" s="287">
        <v>0.16</v>
      </c>
      <c r="M7" s="29">
        <f t="shared" ref="M7:M47" si="3">L7*G7</f>
        <v>4.9279999999999999</v>
      </c>
      <c r="N7" s="188">
        <f t="shared" ref="N7:N47" si="4">M7*K7</f>
        <v>599.54048</v>
      </c>
      <c r="O7" s="53">
        <f t="shared" ref="O7:O47" si="5">N7+J7</f>
        <v>927.38491999999997</v>
      </c>
      <c r="P7" s="86"/>
    </row>
    <row r="8" spans="1:16" s="266" customFormat="1" x14ac:dyDescent="0.3">
      <c r="A8" s="258"/>
      <c r="B8" s="229"/>
      <c r="C8" s="229"/>
      <c r="D8" s="231" t="s">
        <v>216</v>
      </c>
      <c r="E8" s="232">
        <v>4</v>
      </c>
      <c r="F8" s="268">
        <v>0</v>
      </c>
      <c r="G8" s="28">
        <f t="shared" si="0"/>
        <v>4</v>
      </c>
      <c r="H8" s="28" t="s">
        <v>11</v>
      </c>
      <c r="I8" s="297">
        <v>61.8994</v>
      </c>
      <c r="J8" s="286">
        <f t="shared" si="1"/>
        <v>247.5976</v>
      </c>
      <c r="K8" s="9">
        <f t="shared" si="2"/>
        <v>121.66</v>
      </c>
      <c r="L8" s="287">
        <v>0.64000000000000012</v>
      </c>
      <c r="M8" s="288">
        <f t="shared" si="3"/>
        <v>2.5600000000000005</v>
      </c>
      <c r="N8" s="286">
        <f t="shared" si="4"/>
        <v>311.44960000000003</v>
      </c>
      <c r="O8" s="289">
        <f t="shared" si="5"/>
        <v>559.04719999999998</v>
      </c>
      <c r="P8" s="287"/>
    </row>
    <row r="9" spans="1:16" s="266" customFormat="1" x14ac:dyDescent="0.3">
      <c r="A9" s="258"/>
      <c r="B9" s="229"/>
      <c r="C9" s="229"/>
      <c r="D9" s="231" t="s">
        <v>278</v>
      </c>
      <c r="E9" s="232">
        <f>ROUNDUP(E7*8%,0)</f>
        <v>3</v>
      </c>
      <c r="F9" s="268">
        <v>0</v>
      </c>
      <c r="G9" s="28">
        <f t="shared" si="0"/>
        <v>3</v>
      </c>
      <c r="H9" s="28" t="s">
        <v>11</v>
      </c>
      <c r="I9" s="297">
        <v>12.94</v>
      </c>
      <c r="J9" s="286">
        <f t="shared" si="1"/>
        <v>38.82</v>
      </c>
      <c r="K9" s="9">
        <f t="shared" si="2"/>
        <v>121.66</v>
      </c>
      <c r="L9" s="287">
        <v>0.28799999999999998</v>
      </c>
      <c r="M9" s="288">
        <f t="shared" si="3"/>
        <v>0.86399999999999988</v>
      </c>
      <c r="N9" s="286">
        <f t="shared" si="4"/>
        <v>105.11423999999998</v>
      </c>
      <c r="O9" s="289">
        <f t="shared" si="5"/>
        <v>143.93423999999999</v>
      </c>
      <c r="P9" s="287"/>
    </row>
    <row r="10" spans="1:16" s="266" customFormat="1" x14ac:dyDescent="0.3">
      <c r="A10" s="258"/>
      <c r="B10" s="229"/>
      <c r="C10" s="229"/>
      <c r="D10" s="231" t="s">
        <v>279</v>
      </c>
      <c r="E10" s="232">
        <f>ROUNDUP(E7/10,0)</f>
        <v>3</v>
      </c>
      <c r="F10" s="268">
        <v>0</v>
      </c>
      <c r="G10" s="28">
        <f t="shared" si="0"/>
        <v>3</v>
      </c>
      <c r="H10" s="28" t="s">
        <v>11</v>
      </c>
      <c r="I10" s="297">
        <v>8.99</v>
      </c>
      <c r="J10" s="286">
        <f t="shared" si="1"/>
        <v>26.97</v>
      </c>
      <c r="K10" s="9">
        <f t="shared" si="2"/>
        <v>121.66</v>
      </c>
      <c r="L10" s="287">
        <v>0.13600000000000001</v>
      </c>
      <c r="M10" s="288">
        <f t="shared" si="3"/>
        <v>0.40800000000000003</v>
      </c>
      <c r="N10" s="286">
        <f t="shared" si="4"/>
        <v>49.637280000000004</v>
      </c>
      <c r="O10" s="289">
        <f t="shared" si="5"/>
        <v>76.607280000000003</v>
      </c>
      <c r="P10" s="287"/>
    </row>
    <row r="11" spans="1:16" s="266" customFormat="1" x14ac:dyDescent="0.3">
      <c r="A11" s="258"/>
      <c r="B11" s="229"/>
      <c r="C11" s="229"/>
      <c r="D11" s="231" t="s">
        <v>217</v>
      </c>
      <c r="E11" s="232">
        <f>ROUNDUP(E7*8%,0)</f>
        <v>3</v>
      </c>
      <c r="F11" s="268">
        <v>0</v>
      </c>
      <c r="G11" s="28">
        <f t="shared" si="0"/>
        <v>3</v>
      </c>
      <c r="H11" s="28" t="s">
        <v>11</v>
      </c>
      <c r="I11" s="297">
        <v>2.4535</v>
      </c>
      <c r="J11" s="286">
        <f t="shared" si="1"/>
        <v>7.3605</v>
      </c>
      <c r="K11" s="9">
        <f t="shared" si="2"/>
        <v>121.66</v>
      </c>
      <c r="L11" s="287">
        <v>8.6400000000000018E-2</v>
      </c>
      <c r="M11" s="288">
        <f t="shared" si="3"/>
        <v>0.25920000000000004</v>
      </c>
      <c r="N11" s="286">
        <f t="shared" si="4"/>
        <v>31.534272000000005</v>
      </c>
      <c r="O11" s="289">
        <f t="shared" si="5"/>
        <v>38.894772000000003</v>
      </c>
      <c r="P11" s="287"/>
    </row>
    <row r="12" spans="1:16" s="266" customFormat="1" x14ac:dyDescent="0.3">
      <c r="A12" s="258"/>
      <c r="B12" s="229"/>
      <c r="C12" s="229"/>
      <c r="D12" s="231" t="s">
        <v>218</v>
      </c>
      <c r="E12" s="232">
        <f>ROUNDUP(E7/10,0)</f>
        <v>3</v>
      </c>
      <c r="F12" s="268">
        <v>0</v>
      </c>
      <c r="G12" s="28">
        <f t="shared" si="0"/>
        <v>3</v>
      </c>
      <c r="H12" s="28" t="s">
        <v>11</v>
      </c>
      <c r="I12" s="297">
        <v>1.7141999999999999</v>
      </c>
      <c r="J12" s="286">
        <f t="shared" si="1"/>
        <v>5.1425999999999998</v>
      </c>
      <c r="K12" s="9">
        <f t="shared" si="2"/>
        <v>121.66</v>
      </c>
      <c r="L12" s="287">
        <v>0.14399999999999999</v>
      </c>
      <c r="M12" s="288">
        <f t="shared" si="3"/>
        <v>0.43199999999999994</v>
      </c>
      <c r="N12" s="286">
        <f t="shared" si="4"/>
        <v>52.557119999999991</v>
      </c>
      <c r="O12" s="289">
        <f t="shared" si="5"/>
        <v>57.699719999999992</v>
      </c>
      <c r="P12" s="287"/>
    </row>
    <row r="13" spans="1:16" s="266" customFormat="1" x14ac:dyDescent="0.3">
      <c r="A13" s="258"/>
      <c r="B13" s="229"/>
      <c r="C13" s="229"/>
      <c r="D13" s="231" t="s">
        <v>219</v>
      </c>
      <c r="E13" s="232">
        <f>ROUNDUP(E7/10,0)</f>
        <v>3</v>
      </c>
      <c r="F13" s="268">
        <v>0</v>
      </c>
      <c r="G13" s="28">
        <f t="shared" si="0"/>
        <v>3</v>
      </c>
      <c r="H13" s="28" t="s">
        <v>11</v>
      </c>
      <c r="I13" s="297">
        <v>0.71699999999999997</v>
      </c>
      <c r="J13" s="286">
        <f t="shared" si="1"/>
        <v>2.1509999999999998</v>
      </c>
      <c r="K13" s="9">
        <f t="shared" si="2"/>
        <v>121.66</v>
      </c>
      <c r="L13" s="287">
        <v>9.6000000000000002E-2</v>
      </c>
      <c r="M13" s="288">
        <f t="shared" si="3"/>
        <v>0.28800000000000003</v>
      </c>
      <c r="N13" s="286">
        <f t="shared" si="4"/>
        <v>35.038080000000001</v>
      </c>
      <c r="O13" s="289">
        <f t="shared" si="5"/>
        <v>37.189080000000004</v>
      </c>
      <c r="P13" s="287"/>
    </row>
    <row r="14" spans="1:16" s="30" customFormat="1" x14ac:dyDescent="0.3">
      <c r="A14" s="32">
        <v>2</v>
      </c>
      <c r="B14" s="14"/>
      <c r="C14" s="14"/>
      <c r="D14" s="26" t="s">
        <v>220</v>
      </c>
      <c r="E14" s="71">
        <v>536</v>
      </c>
      <c r="F14" s="1">
        <v>0.1</v>
      </c>
      <c r="G14" s="78">
        <f t="shared" ref="G14:G34" si="6">E14+(E14*F14)</f>
        <v>589.6</v>
      </c>
      <c r="H14" s="5" t="s">
        <v>9</v>
      </c>
      <c r="I14" s="9">
        <f>470.68/100</f>
        <v>4.7068000000000003</v>
      </c>
      <c r="J14" s="188">
        <f t="shared" ref="J14:J34" si="7">I14*G14</f>
        <v>2775.1292800000001</v>
      </c>
      <c r="K14" s="9">
        <f t="shared" ref="K14:K47" si="8">$K$5</f>
        <v>121.66</v>
      </c>
      <c r="L14" s="29">
        <v>0.14000000000000001</v>
      </c>
      <c r="M14" s="29">
        <f t="shared" ref="M14:M34" si="9">L14*G14</f>
        <v>82.544000000000011</v>
      </c>
      <c r="N14" s="188">
        <f t="shared" ref="N14:N26" si="10">M14*K14</f>
        <v>10042.303040000001</v>
      </c>
      <c r="O14" s="54">
        <f t="shared" ref="O14:O26" si="11">N14+J14</f>
        <v>12817.43232</v>
      </c>
      <c r="P14" s="86"/>
    </row>
    <row r="15" spans="1:16" x14ac:dyDescent="0.3">
      <c r="A15" s="32"/>
      <c r="B15" s="14"/>
      <c r="C15" s="14"/>
      <c r="D15" s="26" t="s">
        <v>221</v>
      </c>
      <c r="E15" s="71">
        <v>4</v>
      </c>
      <c r="F15" s="1">
        <v>0</v>
      </c>
      <c r="G15" s="78">
        <f>E15+(E15*F15)</f>
        <v>4</v>
      </c>
      <c r="H15" s="5" t="s">
        <v>11</v>
      </c>
      <c r="I15" s="9">
        <v>139.46170000000001</v>
      </c>
      <c r="J15" s="188">
        <f>I15*G15</f>
        <v>557.84680000000003</v>
      </c>
      <c r="K15" s="9">
        <f>$K$5</f>
        <v>121.66</v>
      </c>
      <c r="L15" s="29">
        <v>3</v>
      </c>
      <c r="M15" s="29">
        <f>L15*G15</f>
        <v>12</v>
      </c>
      <c r="N15" s="188">
        <f>M15*K15</f>
        <v>1459.92</v>
      </c>
      <c r="O15" s="54">
        <f>N15+J15</f>
        <v>2017.7668000000001</v>
      </c>
      <c r="P15" s="86"/>
    </row>
    <row r="16" spans="1:16" x14ac:dyDescent="0.3">
      <c r="A16" s="32"/>
      <c r="B16" s="14"/>
      <c r="C16" s="14"/>
      <c r="D16" s="26" t="s">
        <v>222</v>
      </c>
      <c r="E16" s="71">
        <f>ROUNDUP(E14*4%*2,0)</f>
        <v>43</v>
      </c>
      <c r="F16" s="1">
        <v>0</v>
      </c>
      <c r="G16" s="78">
        <f>E16+(E16*F16)</f>
        <v>43</v>
      </c>
      <c r="H16" s="5" t="s">
        <v>11</v>
      </c>
      <c r="I16" s="9">
        <v>5.8254999999999999</v>
      </c>
      <c r="J16" s="188">
        <f>I16*G16</f>
        <v>250.4965</v>
      </c>
      <c r="K16" s="9">
        <f>$K$5</f>
        <v>121.66</v>
      </c>
      <c r="L16" s="29">
        <v>0.53</v>
      </c>
      <c r="M16" s="29">
        <f>L16*G16</f>
        <v>22.790000000000003</v>
      </c>
      <c r="N16" s="188">
        <f>M16*K16</f>
        <v>2772.6314000000002</v>
      </c>
      <c r="O16" s="54">
        <f>N16+J16</f>
        <v>3023.1279000000004</v>
      </c>
      <c r="P16" s="86"/>
    </row>
    <row r="17" spans="1:16" x14ac:dyDescent="0.3">
      <c r="A17" s="32"/>
      <c r="B17" s="14"/>
      <c r="C17" s="14"/>
      <c r="D17" s="26" t="s">
        <v>223</v>
      </c>
      <c r="E17" s="71">
        <f>ROUNDUP(E14*3%*4,0)</f>
        <v>65</v>
      </c>
      <c r="F17" s="1">
        <v>0</v>
      </c>
      <c r="G17" s="78">
        <f>E17+(E17*F17)</f>
        <v>65</v>
      </c>
      <c r="H17" s="5" t="s">
        <v>11</v>
      </c>
      <c r="I17" s="9">
        <v>4.2005999999999997</v>
      </c>
      <c r="J17" s="188">
        <f>I17*G17</f>
        <v>273.03899999999999</v>
      </c>
      <c r="K17" s="9">
        <f>$K$5</f>
        <v>121.66</v>
      </c>
      <c r="L17" s="29">
        <v>0.08</v>
      </c>
      <c r="M17" s="29">
        <f>L17*G17</f>
        <v>5.2</v>
      </c>
      <c r="N17" s="188">
        <f>M17*K17</f>
        <v>632.63199999999995</v>
      </c>
      <c r="O17" s="54">
        <f>N17+J17</f>
        <v>905.67099999999994</v>
      </c>
      <c r="P17" s="86"/>
    </row>
    <row r="18" spans="1:16" x14ac:dyDescent="0.3">
      <c r="A18" s="32"/>
      <c r="B18" s="14"/>
      <c r="C18" s="14"/>
      <c r="D18" s="26" t="s">
        <v>224</v>
      </c>
      <c r="E18" s="71">
        <f>ROUNDUP(E14*4%*2,0)</f>
        <v>43</v>
      </c>
      <c r="F18" s="1">
        <v>0</v>
      </c>
      <c r="G18" s="78">
        <f>E18+(E18*F18)</f>
        <v>43</v>
      </c>
      <c r="H18" s="5" t="s">
        <v>11</v>
      </c>
      <c r="I18" s="9">
        <v>4.8197000000000001</v>
      </c>
      <c r="J18" s="188">
        <f>I18*G18</f>
        <v>207.24710000000002</v>
      </c>
      <c r="K18" s="9">
        <f>$K$5</f>
        <v>121.66</v>
      </c>
      <c r="L18" s="29">
        <v>0.8</v>
      </c>
      <c r="M18" s="29">
        <f>L18*G18</f>
        <v>34.4</v>
      </c>
      <c r="N18" s="188">
        <f>M18*K18</f>
        <v>4185.1039999999994</v>
      </c>
      <c r="O18" s="54">
        <f>N18+J18</f>
        <v>4392.351099999999</v>
      </c>
      <c r="P18" s="86"/>
    </row>
    <row r="19" spans="1:16" s="30" customFormat="1" x14ac:dyDescent="0.3">
      <c r="A19" s="32">
        <v>3</v>
      </c>
      <c r="B19" s="14"/>
      <c r="C19" s="14"/>
      <c r="D19" s="231" t="s">
        <v>225</v>
      </c>
      <c r="E19" s="71">
        <v>12</v>
      </c>
      <c r="F19" s="1">
        <v>0.1</v>
      </c>
      <c r="G19" s="78">
        <f t="shared" si="6"/>
        <v>13.2</v>
      </c>
      <c r="H19" s="5" t="s">
        <v>9</v>
      </c>
      <c r="I19" s="45">
        <f>3319.26/100</f>
        <v>33.192599999999999</v>
      </c>
      <c r="J19" s="286">
        <f t="shared" ref="J19:J26" si="12">I19*G19</f>
        <v>438.14231999999998</v>
      </c>
      <c r="K19" s="9">
        <f t="shared" ref="K19:K26" si="13">$K$5</f>
        <v>121.66</v>
      </c>
      <c r="L19" s="287">
        <v>0.3</v>
      </c>
      <c r="M19" s="29">
        <f t="shared" si="9"/>
        <v>3.9599999999999995</v>
      </c>
      <c r="N19" s="188">
        <f t="shared" si="10"/>
        <v>481.77359999999993</v>
      </c>
      <c r="O19" s="54">
        <f t="shared" si="11"/>
        <v>919.91591999999991</v>
      </c>
      <c r="P19" s="86"/>
    </row>
    <row r="20" spans="1:16" s="30" customFormat="1" x14ac:dyDescent="0.3">
      <c r="A20" s="25"/>
      <c r="B20" s="14"/>
      <c r="C20" s="14"/>
      <c r="D20" s="231" t="s">
        <v>226</v>
      </c>
      <c r="E20" s="232">
        <f>ROUNDUP(E19*3%,0)</f>
        <v>1</v>
      </c>
      <c r="F20" s="268">
        <v>0</v>
      </c>
      <c r="G20" s="28">
        <f t="shared" si="6"/>
        <v>1</v>
      </c>
      <c r="H20" s="28" t="s">
        <v>11</v>
      </c>
      <c r="I20" s="298">
        <v>36.292099999999998</v>
      </c>
      <c r="J20" s="286">
        <f t="shared" si="12"/>
        <v>36.292099999999998</v>
      </c>
      <c r="K20" s="9">
        <f t="shared" si="13"/>
        <v>121.66</v>
      </c>
      <c r="L20" s="287">
        <v>0.02</v>
      </c>
      <c r="M20" s="288">
        <f t="shared" si="9"/>
        <v>0.02</v>
      </c>
      <c r="N20" s="286">
        <f t="shared" si="10"/>
        <v>2.4331999999999998</v>
      </c>
      <c r="O20" s="289">
        <f t="shared" si="11"/>
        <v>38.725299999999997</v>
      </c>
      <c r="P20" s="287"/>
    </row>
    <row r="21" spans="1:16" s="30" customFormat="1" x14ac:dyDescent="0.3">
      <c r="A21" s="25"/>
      <c r="B21" s="14"/>
      <c r="C21" s="14"/>
      <c r="D21" s="231" t="s">
        <v>221</v>
      </c>
      <c r="E21" s="232">
        <f>ROUNDUP(E19*3%,0)</f>
        <v>1</v>
      </c>
      <c r="F21" s="268">
        <v>0</v>
      </c>
      <c r="G21" s="28">
        <f t="shared" si="6"/>
        <v>1</v>
      </c>
      <c r="H21" s="28" t="s">
        <v>11</v>
      </c>
      <c r="I21" s="298">
        <v>139.46170000000001</v>
      </c>
      <c r="J21" s="286">
        <f t="shared" si="12"/>
        <v>139.46170000000001</v>
      </c>
      <c r="K21" s="9">
        <f t="shared" si="13"/>
        <v>121.66</v>
      </c>
      <c r="L21" s="287">
        <v>3</v>
      </c>
      <c r="M21" s="288">
        <f t="shared" si="9"/>
        <v>3</v>
      </c>
      <c r="N21" s="286">
        <f t="shared" si="10"/>
        <v>364.98</v>
      </c>
      <c r="O21" s="289">
        <f t="shared" si="11"/>
        <v>504.44170000000003</v>
      </c>
      <c r="P21" s="287"/>
    </row>
    <row r="22" spans="1:16" s="30" customFormat="1" x14ac:dyDescent="0.3">
      <c r="A22" s="25"/>
      <c r="B22" s="14"/>
      <c r="C22" s="14"/>
      <c r="D22" s="231" t="s">
        <v>222</v>
      </c>
      <c r="E22" s="232">
        <f>ROUNDUP(E19*4%*4,0)</f>
        <v>2</v>
      </c>
      <c r="F22" s="268">
        <v>0</v>
      </c>
      <c r="G22" s="28">
        <f t="shared" si="6"/>
        <v>2</v>
      </c>
      <c r="H22" s="28" t="s">
        <v>11</v>
      </c>
      <c r="I22" s="298">
        <v>5.8254999999999999</v>
      </c>
      <c r="J22" s="286">
        <f t="shared" si="12"/>
        <v>11.651</v>
      </c>
      <c r="K22" s="9">
        <f t="shared" si="13"/>
        <v>121.66</v>
      </c>
      <c r="L22" s="287">
        <v>0.53</v>
      </c>
      <c r="M22" s="288">
        <f t="shared" si="9"/>
        <v>1.06</v>
      </c>
      <c r="N22" s="286">
        <f t="shared" si="10"/>
        <v>128.95959999999999</v>
      </c>
      <c r="O22" s="289">
        <f t="shared" si="11"/>
        <v>140.61060000000001</v>
      </c>
      <c r="P22" s="287"/>
    </row>
    <row r="23" spans="1:16" s="30" customFormat="1" x14ac:dyDescent="0.3">
      <c r="A23" s="25"/>
      <c r="B23" s="14"/>
      <c r="C23" s="14"/>
      <c r="D23" s="231" t="s">
        <v>217</v>
      </c>
      <c r="E23" s="232">
        <f>ROUNDUP(E19*4%*2,0)</f>
        <v>1</v>
      </c>
      <c r="F23" s="268">
        <v>0</v>
      </c>
      <c r="G23" s="28">
        <f t="shared" si="6"/>
        <v>1</v>
      </c>
      <c r="H23" s="28" t="s">
        <v>11</v>
      </c>
      <c r="I23" s="297">
        <v>2.7065999999999999</v>
      </c>
      <c r="J23" s="286">
        <f t="shared" si="12"/>
        <v>2.7065999999999999</v>
      </c>
      <c r="K23" s="9">
        <f t="shared" si="13"/>
        <v>121.66</v>
      </c>
      <c r="L23" s="287">
        <v>0.53</v>
      </c>
      <c r="M23" s="288">
        <f t="shared" si="9"/>
        <v>0.53</v>
      </c>
      <c r="N23" s="286">
        <f t="shared" si="10"/>
        <v>64.479799999999997</v>
      </c>
      <c r="O23" s="289">
        <f t="shared" si="11"/>
        <v>67.186399999999992</v>
      </c>
      <c r="P23" s="287"/>
    </row>
    <row r="24" spans="1:16" s="30" customFormat="1" x14ac:dyDescent="0.3">
      <c r="A24" s="25"/>
      <c r="B24" s="14"/>
      <c r="C24" s="14"/>
      <c r="D24" s="231" t="s">
        <v>227</v>
      </c>
      <c r="E24" s="232">
        <f>ROUNDUP(E19*4%,0)</f>
        <v>1</v>
      </c>
      <c r="F24" s="268">
        <v>0</v>
      </c>
      <c r="G24" s="28">
        <f t="shared" si="6"/>
        <v>1</v>
      </c>
      <c r="H24" s="28" t="s">
        <v>11</v>
      </c>
      <c r="I24" s="298">
        <v>0</v>
      </c>
      <c r="J24" s="286">
        <f t="shared" si="12"/>
        <v>0</v>
      </c>
      <c r="K24" s="9">
        <f t="shared" si="13"/>
        <v>121.66</v>
      </c>
      <c r="L24" s="287">
        <v>0.66</v>
      </c>
      <c r="M24" s="288">
        <f t="shared" si="9"/>
        <v>0.66</v>
      </c>
      <c r="N24" s="286">
        <f t="shared" si="10"/>
        <v>80.295600000000007</v>
      </c>
      <c r="O24" s="289">
        <f t="shared" si="11"/>
        <v>80.295600000000007</v>
      </c>
      <c r="P24" s="287"/>
    </row>
    <row r="25" spans="1:16" s="30" customFormat="1" x14ac:dyDescent="0.3">
      <c r="A25" s="25"/>
      <c r="B25" s="14"/>
      <c r="C25" s="14"/>
      <c r="D25" s="231" t="s">
        <v>228</v>
      </c>
      <c r="E25" s="232">
        <f>ROUNDUP(E19/8,0)</f>
        <v>2</v>
      </c>
      <c r="F25" s="268">
        <v>0</v>
      </c>
      <c r="G25" s="28">
        <f t="shared" si="6"/>
        <v>2</v>
      </c>
      <c r="H25" s="28" t="s">
        <v>11</v>
      </c>
      <c r="I25" s="298">
        <v>2.5468000000000002</v>
      </c>
      <c r="J25" s="286">
        <f t="shared" si="12"/>
        <v>5.0936000000000003</v>
      </c>
      <c r="K25" s="9">
        <f t="shared" si="13"/>
        <v>121.66</v>
      </c>
      <c r="L25" s="287">
        <v>0.17499999999999999</v>
      </c>
      <c r="M25" s="288">
        <f t="shared" si="9"/>
        <v>0.35</v>
      </c>
      <c r="N25" s="286">
        <f t="shared" si="10"/>
        <v>42.580999999999996</v>
      </c>
      <c r="O25" s="289">
        <f t="shared" si="11"/>
        <v>47.674599999999998</v>
      </c>
      <c r="P25" s="287"/>
    </row>
    <row r="26" spans="1:16" s="30" customFormat="1" x14ac:dyDescent="0.3">
      <c r="A26" s="25"/>
      <c r="B26" s="14"/>
      <c r="C26" s="14"/>
      <c r="D26" s="231" t="s">
        <v>219</v>
      </c>
      <c r="E26" s="232">
        <f>ROUNDUP(E19/8,0)</f>
        <v>2</v>
      </c>
      <c r="F26" s="268">
        <v>0</v>
      </c>
      <c r="G26" s="28">
        <f t="shared" si="6"/>
        <v>2</v>
      </c>
      <c r="H26" s="28" t="s">
        <v>11</v>
      </c>
      <c r="I26" s="298">
        <v>0.71699999999999997</v>
      </c>
      <c r="J26" s="286">
        <f t="shared" si="12"/>
        <v>1.4339999999999999</v>
      </c>
      <c r="K26" s="9">
        <f t="shared" si="13"/>
        <v>121.66</v>
      </c>
      <c r="L26" s="287">
        <v>0.1</v>
      </c>
      <c r="M26" s="288">
        <f t="shared" si="9"/>
        <v>0.2</v>
      </c>
      <c r="N26" s="286">
        <f t="shared" si="10"/>
        <v>24.332000000000001</v>
      </c>
      <c r="O26" s="289">
        <f t="shared" si="11"/>
        <v>25.766000000000002</v>
      </c>
      <c r="P26" s="287"/>
    </row>
    <row r="27" spans="1:16" s="30" customFormat="1" x14ac:dyDescent="0.3">
      <c r="A27" s="32">
        <v>4</v>
      </c>
      <c r="B27" s="14"/>
      <c r="C27" s="14"/>
      <c r="D27" s="26" t="s">
        <v>229</v>
      </c>
      <c r="E27" s="71">
        <v>19</v>
      </c>
      <c r="F27" s="1">
        <v>0.1</v>
      </c>
      <c r="G27" s="78">
        <f t="shared" si="6"/>
        <v>20.9</v>
      </c>
      <c r="H27" s="5" t="s">
        <v>9</v>
      </c>
      <c r="I27" s="9">
        <f>285.76/100</f>
        <v>2.8575999999999997</v>
      </c>
      <c r="J27" s="188">
        <f t="shared" si="7"/>
        <v>59.723839999999988</v>
      </c>
      <c r="K27" s="9">
        <f t="shared" si="8"/>
        <v>121.66</v>
      </c>
      <c r="L27" s="31">
        <v>6.2E-2</v>
      </c>
      <c r="M27" s="29">
        <f t="shared" si="9"/>
        <v>1.2957999999999998</v>
      </c>
      <c r="N27" s="188">
        <f t="shared" ref="N27:N32" si="14">M27*K27</f>
        <v>157.64702799999998</v>
      </c>
      <c r="O27" s="54">
        <f t="shared" ref="O27:O32" si="15">N27+J27</f>
        <v>217.37086799999997</v>
      </c>
      <c r="P27" s="86"/>
    </row>
    <row r="28" spans="1:16" x14ac:dyDescent="0.3">
      <c r="A28" s="32"/>
      <c r="B28" s="14"/>
      <c r="C28" s="14"/>
      <c r="D28" s="26" t="s">
        <v>230</v>
      </c>
      <c r="E28" s="71">
        <f>ROUNDUP(E27*8%,0)</f>
        <v>2</v>
      </c>
      <c r="F28" s="1">
        <v>0</v>
      </c>
      <c r="G28" s="78">
        <f>E28+(E28*F28)</f>
        <v>2</v>
      </c>
      <c r="H28" s="5" t="s">
        <v>11</v>
      </c>
      <c r="I28" s="9">
        <v>1.97</v>
      </c>
      <c r="J28" s="188">
        <f>I28*G28</f>
        <v>3.94</v>
      </c>
      <c r="K28" s="9">
        <f>$K$5</f>
        <v>121.66</v>
      </c>
      <c r="L28" s="31">
        <v>0.4</v>
      </c>
      <c r="M28" s="29">
        <f>L28*G28</f>
        <v>0.8</v>
      </c>
      <c r="N28" s="188">
        <f t="shared" si="14"/>
        <v>97.328000000000003</v>
      </c>
      <c r="O28" s="54">
        <f t="shared" si="15"/>
        <v>101.268</v>
      </c>
      <c r="P28" s="86"/>
    </row>
    <row r="29" spans="1:16" x14ac:dyDescent="0.3">
      <c r="A29" s="32"/>
      <c r="B29" s="14"/>
      <c r="C29" s="14"/>
      <c r="D29" s="26" t="s">
        <v>231</v>
      </c>
      <c r="E29" s="71">
        <f>ROUNDUP(E27/10,0)</f>
        <v>2</v>
      </c>
      <c r="F29" s="1">
        <v>0</v>
      </c>
      <c r="G29" s="78">
        <f>E29+(E29*F29)</f>
        <v>2</v>
      </c>
      <c r="H29" s="5" t="s">
        <v>11</v>
      </c>
      <c r="I29" s="9">
        <v>2.36</v>
      </c>
      <c r="J29" s="188">
        <f>I29*G29</f>
        <v>4.72</v>
      </c>
      <c r="K29" s="9">
        <f>$K$5</f>
        <v>121.66</v>
      </c>
      <c r="L29" s="31">
        <v>0.2</v>
      </c>
      <c r="M29" s="29">
        <f>L29*G29</f>
        <v>0.4</v>
      </c>
      <c r="N29" s="188">
        <f t="shared" si="14"/>
        <v>48.664000000000001</v>
      </c>
      <c r="O29" s="54">
        <f t="shared" si="15"/>
        <v>53.384</v>
      </c>
      <c r="P29" s="86"/>
    </row>
    <row r="30" spans="1:16" x14ac:dyDescent="0.3">
      <c r="A30" s="32"/>
      <c r="B30" s="14"/>
      <c r="C30" s="14"/>
      <c r="D30" s="26" t="s">
        <v>232</v>
      </c>
      <c r="E30" s="71">
        <f>ROUNDUP(E27*8%,0)</f>
        <v>2</v>
      </c>
      <c r="F30" s="1">
        <v>0</v>
      </c>
      <c r="G30" s="78">
        <f>E30+(E30*F30)</f>
        <v>2</v>
      </c>
      <c r="H30" s="5" t="s">
        <v>11</v>
      </c>
      <c r="I30" s="9">
        <v>0.38679999999999998</v>
      </c>
      <c r="J30" s="188">
        <f>I30*G30</f>
        <v>0.77359999999999995</v>
      </c>
      <c r="K30" s="9">
        <f>$K$5</f>
        <v>121.66</v>
      </c>
      <c r="L30" s="31">
        <v>0.17</v>
      </c>
      <c r="M30" s="29">
        <f>L30*G30</f>
        <v>0.34</v>
      </c>
      <c r="N30" s="188">
        <f t="shared" si="14"/>
        <v>41.364400000000003</v>
      </c>
      <c r="O30" s="54">
        <f t="shared" si="15"/>
        <v>42.138000000000005</v>
      </c>
      <c r="P30" s="86"/>
    </row>
    <row r="31" spans="1:16" x14ac:dyDescent="0.3">
      <c r="A31" s="32"/>
      <c r="B31" s="14"/>
      <c r="C31" s="14"/>
      <c r="D31" s="26" t="s">
        <v>233</v>
      </c>
      <c r="E31" s="71">
        <f>ROUNDUP(E27/10,0)</f>
        <v>2</v>
      </c>
      <c r="F31" s="1">
        <v>0</v>
      </c>
      <c r="G31" s="78">
        <f>E31+(E31*F31)</f>
        <v>2</v>
      </c>
      <c r="H31" s="5" t="s">
        <v>11</v>
      </c>
      <c r="I31" s="9">
        <v>1.4134</v>
      </c>
      <c r="J31" s="188">
        <f>I31*G31</f>
        <v>2.8268</v>
      </c>
      <c r="K31" s="9">
        <f>$K$5</f>
        <v>121.66</v>
      </c>
      <c r="L31" s="31">
        <v>4.2500000000000003E-2</v>
      </c>
      <c r="M31" s="29">
        <f>L31*G31</f>
        <v>8.5000000000000006E-2</v>
      </c>
      <c r="N31" s="188">
        <f t="shared" si="14"/>
        <v>10.341100000000001</v>
      </c>
      <c r="O31" s="54">
        <f t="shared" si="15"/>
        <v>13.167900000000001</v>
      </c>
      <c r="P31" s="86"/>
    </row>
    <row r="32" spans="1:16" x14ac:dyDescent="0.3">
      <c r="A32" s="32"/>
      <c r="B32" s="14"/>
      <c r="C32" s="14"/>
      <c r="D32" s="26" t="s">
        <v>234</v>
      </c>
      <c r="E32" s="71">
        <f>ROUNDUP(E27/10,0)</f>
        <v>2</v>
      </c>
      <c r="F32" s="1">
        <v>0</v>
      </c>
      <c r="G32" s="78">
        <f>E32+(E32*F32)</f>
        <v>2</v>
      </c>
      <c r="H32" s="5" t="s">
        <v>11</v>
      </c>
      <c r="I32" s="9">
        <v>0.42549999999999999</v>
      </c>
      <c r="J32" s="188">
        <f>I32*G32</f>
        <v>0.85099999999999998</v>
      </c>
      <c r="K32" s="9">
        <f>$K$5</f>
        <v>121.66</v>
      </c>
      <c r="L32" s="31">
        <v>0.06</v>
      </c>
      <c r="M32" s="29">
        <f>L32*G32</f>
        <v>0.12</v>
      </c>
      <c r="N32" s="188">
        <f t="shared" si="14"/>
        <v>14.5992</v>
      </c>
      <c r="O32" s="54">
        <f t="shared" si="15"/>
        <v>15.450199999999999</v>
      </c>
      <c r="P32" s="86"/>
    </row>
    <row r="33" spans="1:16" s="30" customFormat="1" x14ac:dyDescent="0.3">
      <c r="A33" s="32">
        <v>5</v>
      </c>
      <c r="B33" s="14"/>
      <c r="C33" s="14"/>
      <c r="D33" s="26" t="s">
        <v>104</v>
      </c>
      <c r="E33" s="71">
        <v>5</v>
      </c>
      <c r="F33" s="1">
        <v>0.1</v>
      </c>
      <c r="G33" s="78">
        <f t="shared" si="6"/>
        <v>5.5</v>
      </c>
      <c r="H33" s="5" t="s">
        <v>9</v>
      </c>
      <c r="I33" s="9">
        <v>4.6978</v>
      </c>
      <c r="J33" s="188">
        <f t="shared" si="7"/>
        <v>25.837900000000001</v>
      </c>
      <c r="K33" s="9">
        <f t="shared" si="8"/>
        <v>121.66</v>
      </c>
      <c r="L33" s="29">
        <v>0.1</v>
      </c>
      <c r="M33" s="29">
        <f t="shared" si="9"/>
        <v>0.55000000000000004</v>
      </c>
      <c r="N33" s="188">
        <f t="shared" ref="N33:N34" si="16">M33*K33</f>
        <v>66.912999999999997</v>
      </c>
      <c r="O33" s="54">
        <f t="shared" ref="O33:O34" si="17">N33+J33</f>
        <v>92.750900000000001</v>
      </c>
      <c r="P33" s="86"/>
    </row>
    <row r="34" spans="1:16" s="30" customFormat="1" x14ac:dyDescent="0.3">
      <c r="A34" s="32">
        <v>6</v>
      </c>
      <c r="B34" s="14"/>
      <c r="C34" s="14"/>
      <c r="D34" s="26" t="s">
        <v>235</v>
      </c>
      <c r="E34" s="71">
        <v>13</v>
      </c>
      <c r="F34" s="1">
        <v>0.1</v>
      </c>
      <c r="G34" s="78">
        <f t="shared" si="6"/>
        <v>14.3</v>
      </c>
      <c r="H34" s="5" t="s">
        <v>9</v>
      </c>
      <c r="I34" s="9">
        <f>123.3/100</f>
        <v>1.2329999999999999</v>
      </c>
      <c r="J34" s="188">
        <f t="shared" si="7"/>
        <v>17.631899999999998</v>
      </c>
      <c r="K34" s="9">
        <f t="shared" si="8"/>
        <v>121.66</v>
      </c>
      <c r="L34" s="29">
        <v>0.06</v>
      </c>
      <c r="M34" s="29">
        <f t="shared" si="9"/>
        <v>0.85799999999999998</v>
      </c>
      <c r="N34" s="188">
        <f t="shared" si="16"/>
        <v>104.38427999999999</v>
      </c>
      <c r="O34" s="54">
        <f t="shared" si="17"/>
        <v>122.01617999999999</v>
      </c>
      <c r="P34" s="86"/>
    </row>
    <row r="35" spans="1:16" x14ac:dyDescent="0.3">
      <c r="A35" s="32"/>
      <c r="B35" s="14"/>
      <c r="C35" s="14"/>
      <c r="D35" s="26" t="s">
        <v>236</v>
      </c>
      <c r="E35" s="71">
        <f>ROUNDUP(E34*1%*2,0)</f>
        <v>1</v>
      </c>
      <c r="F35" s="1">
        <v>0</v>
      </c>
      <c r="G35" s="78">
        <f>E35+(E35*F35)</f>
        <v>1</v>
      </c>
      <c r="H35" s="5" t="s">
        <v>11</v>
      </c>
      <c r="I35" s="9">
        <v>16.937200000000001</v>
      </c>
      <c r="J35" s="188">
        <f>I35*G35</f>
        <v>16.937200000000001</v>
      </c>
      <c r="K35" s="9">
        <f>$K$5</f>
        <v>121.66</v>
      </c>
      <c r="L35" s="29">
        <v>0.6</v>
      </c>
      <c r="M35" s="29">
        <f>L35*G35</f>
        <v>0.6</v>
      </c>
      <c r="N35" s="188">
        <f>M35*K35</f>
        <v>72.995999999999995</v>
      </c>
      <c r="O35" s="54">
        <f>N35+J35</f>
        <v>89.933199999999999</v>
      </c>
      <c r="P35" s="86"/>
    </row>
    <row r="36" spans="1:16" x14ac:dyDescent="0.3">
      <c r="A36" s="32"/>
      <c r="B36" s="14"/>
      <c r="C36" s="14"/>
      <c r="D36" s="26" t="s">
        <v>237</v>
      </c>
      <c r="E36" s="71">
        <f>ROUNDUP(E34*4%*2,0)</f>
        <v>2</v>
      </c>
      <c r="F36" s="1">
        <v>0</v>
      </c>
      <c r="G36" s="78">
        <f>E36+(E36*F36)</f>
        <v>2</v>
      </c>
      <c r="H36" s="5" t="s">
        <v>11</v>
      </c>
      <c r="I36" s="9">
        <v>0.56759999999999999</v>
      </c>
      <c r="J36" s="188">
        <f>I36*G36</f>
        <v>1.1352</v>
      </c>
      <c r="K36" s="9">
        <f>$K$5</f>
        <v>121.66</v>
      </c>
      <c r="L36" s="29">
        <v>0.17</v>
      </c>
      <c r="M36" s="29">
        <f>L36*G36</f>
        <v>0.34</v>
      </c>
      <c r="N36" s="188">
        <f>M36*K36</f>
        <v>41.364400000000003</v>
      </c>
      <c r="O36" s="54">
        <f>N36+J36</f>
        <v>42.499600000000001</v>
      </c>
      <c r="P36" s="86"/>
    </row>
    <row r="37" spans="1:16" x14ac:dyDescent="0.3">
      <c r="A37" s="32"/>
      <c r="B37" s="14"/>
      <c r="C37" s="14"/>
      <c r="D37" s="26" t="s">
        <v>238</v>
      </c>
      <c r="E37" s="71">
        <f>ROUNDUP(E34*3%*4,0)</f>
        <v>2</v>
      </c>
      <c r="F37" s="1">
        <v>0</v>
      </c>
      <c r="G37" s="78">
        <f>E37+(E37*F37)</f>
        <v>2</v>
      </c>
      <c r="H37" s="5" t="s">
        <v>11</v>
      </c>
      <c r="I37" s="9">
        <v>0.52400000000000002</v>
      </c>
      <c r="J37" s="188">
        <f>I37*G37</f>
        <v>1.048</v>
      </c>
      <c r="K37" s="9">
        <f>$K$5</f>
        <v>121.66</v>
      </c>
      <c r="L37" s="29">
        <v>0.04</v>
      </c>
      <c r="M37" s="29">
        <f>L37*G37</f>
        <v>0.08</v>
      </c>
      <c r="N37" s="188">
        <f>M37*K37</f>
        <v>9.7327999999999992</v>
      </c>
      <c r="O37" s="54">
        <f>N37+J37</f>
        <v>10.780799999999999</v>
      </c>
      <c r="P37" s="86"/>
    </row>
    <row r="38" spans="1:16" x14ac:dyDescent="0.3">
      <c r="A38" s="32"/>
      <c r="B38" s="14"/>
      <c r="C38" s="14"/>
      <c r="D38" s="26" t="s">
        <v>239</v>
      </c>
      <c r="E38" s="71">
        <f>ROUNDUP(E34*4%*2,0)</f>
        <v>2</v>
      </c>
      <c r="F38" s="1">
        <v>0</v>
      </c>
      <c r="G38" s="78">
        <f>E38+(E38*F38)</f>
        <v>2</v>
      </c>
      <c r="H38" s="5" t="s">
        <v>11</v>
      </c>
      <c r="I38" s="9">
        <v>0.89670000000000005</v>
      </c>
      <c r="J38" s="188">
        <f>I38*G38</f>
        <v>1.7934000000000001</v>
      </c>
      <c r="K38" s="9">
        <f>$K$5</f>
        <v>121.66</v>
      </c>
      <c r="L38" s="29">
        <v>0.2</v>
      </c>
      <c r="M38" s="29">
        <f>L38*G38</f>
        <v>0.4</v>
      </c>
      <c r="N38" s="188">
        <f>M38*K38</f>
        <v>48.664000000000001</v>
      </c>
      <c r="O38" s="54">
        <f>N38+J38</f>
        <v>50.4574</v>
      </c>
      <c r="P38" s="86"/>
    </row>
    <row r="39" spans="1:16" s="30" customFormat="1" x14ac:dyDescent="0.3">
      <c r="A39" s="32">
        <v>7</v>
      </c>
      <c r="B39" s="14"/>
      <c r="C39" s="14"/>
      <c r="D39" s="26" t="s">
        <v>240</v>
      </c>
      <c r="E39" s="71">
        <v>5</v>
      </c>
      <c r="F39" s="1">
        <v>0.1</v>
      </c>
      <c r="G39" s="78">
        <f t="shared" ref="G39:G47" si="18">E39+(E39*F39)</f>
        <v>5.5</v>
      </c>
      <c r="H39" s="5" t="s">
        <v>9</v>
      </c>
      <c r="I39" s="9">
        <f>812.74/100</f>
        <v>8.1273999999999997</v>
      </c>
      <c r="J39" s="188">
        <f t="shared" ref="J39:J47" si="19">I39*G39</f>
        <v>44.700699999999998</v>
      </c>
      <c r="K39" s="9">
        <f t="shared" si="8"/>
        <v>121.66</v>
      </c>
      <c r="L39" s="29">
        <v>0.08</v>
      </c>
      <c r="M39" s="29">
        <f t="shared" si="3"/>
        <v>0.44</v>
      </c>
      <c r="N39" s="188">
        <f t="shared" si="4"/>
        <v>53.5304</v>
      </c>
      <c r="O39" s="54">
        <f t="shared" si="5"/>
        <v>98.231099999999998</v>
      </c>
      <c r="P39" s="86"/>
    </row>
    <row r="40" spans="1:16" x14ac:dyDescent="0.3">
      <c r="A40" s="32"/>
      <c r="B40" s="14"/>
      <c r="C40" s="14"/>
      <c r="D40" s="26" t="s">
        <v>241</v>
      </c>
      <c r="E40" s="71">
        <f>ROUNDUP(E39*3%,0)</f>
        <v>1</v>
      </c>
      <c r="F40" s="1">
        <v>0</v>
      </c>
      <c r="G40" s="78">
        <f t="shared" ref="G40:G46" si="20">E40+(E40*F40)</f>
        <v>1</v>
      </c>
      <c r="H40" s="5" t="s">
        <v>11</v>
      </c>
      <c r="I40" s="9">
        <v>5.0614999999999997</v>
      </c>
      <c r="J40" s="188">
        <f t="shared" ref="J40:J46" si="21">I40*G40</f>
        <v>5.0614999999999997</v>
      </c>
      <c r="K40" s="9">
        <f t="shared" ref="K40:K46" si="22">$K$5</f>
        <v>121.66</v>
      </c>
      <c r="L40" s="29">
        <v>0.02</v>
      </c>
      <c r="M40" s="29">
        <f t="shared" ref="M40:M46" si="23">L40*G40</f>
        <v>0.02</v>
      </c>
      <c r="N40" s="188">
        <f t="shared" ref="N40:N46" si="24">M40*K40</f>
        <v>2.4331999999999998</v>
      </c>
      <c r="O40" s="54">
        <f t="shared" ref="O40:O46" si="25">N40+J40</f>
        <v>7.4946999999999999</v>
      </c>
      <c r="P40" s="86"/>
    </row>
    <row r="41" spans="1:16" x14ac:dyDescent="0.3">
      <c r="A41" s="32"/>
      <c r="B41" s="14"/>
      <c r="C41" s="14"/>
      <c r="D41" s="26" t="s">
        <v>236</v>
      </c>
      <c r="E41" s="71">
        <f>ROUNDUP(E39*3%,0)</f>
        <v>1</v>
      </c>
      <c r="F41" s="1">
        <v>0</v>
      </c>
      <c r="G41" s="78">
        <f t="shared" si="20"/>
        <v>1</v>
      </c>
      <c r="H41" s="5" t="s">
        <v>11</v>
      </c>
      <c r="I41" s="9">
        <v>16.937200000000001</v>
      </c>
      <c r="J41" s="188">
        <f t="shared" si="21"/>
        <v>16.937200000000001</v>
      </c>
      <c r="K41" s="9">
        <f t="shared" si="22"/>
        <v>121.66</v>
      </c>
      <c r="L41" s="29">
        <v>0.6</v>
      </c>
      <c r="M41" s="29">
        <f t="shared" si="23"/>
        <v>0.6</v>
      </c>
      <c r="N41" s="188">
        <f t="shared" si="24"/>
        <v>72.995999999999995</v>
      </c>
      <c r="O41" s="54">
        <f t="shared" si="25"/>
        <v>89.933199999999999</v>
      </c>
      <c r="P41" s="86"/>
    </row>
    <row r="42" spans="1:16" x14ac:dyDescent="0.3">
      <c r="A42" s="32"/>
      <c r="B42" s="14"/>
      <c r="C42" s="14"/>
      <c r="D42" s="26" t="s">
        <v>237</v>
      </c>
      <c r="E42" s="71">
        <f>ROUNDUP(E39*4%*4,0)</f>
        <v>1</v>
      </c>
      <c r="F42" s="1">
        <v>0</v>
      </c>
      <c r="G42" s="78">
        <f t="shared" si="20"/>
        <v>1</v>
      </c>
      <c r="H42" s="5" t="s">
        <v>11</v>
      </c>
      <c r="I42" s="9">
        <v>0.56759999999999999</v>
      </c>
      <c r="J42" s="188">
        <f t="shared" si="21"/>
        <v>0.56759999999999999</v>
      </c>
      <c r="K42" s="9">
        <f t="shared" si="22"/>
        <v>121.66</v>
      </c>
      <c r="L42" s="29">
        <v>0.17</v>
      </c>
      <c r="M42" s="29">
        <f t="shared" si="23"/>
        <v>0.17</v>
      </c>
      <c r="N42" s="188">
        <f t="shared" si="24"/>
        <v>20.682200000000002</v>
      </c>
      <c r="O42" s="54">
        <f t="shared" si="25"/>
        <v>21.2498</v>
      </c>
      <c r="P42" s="86"/>
    </row>
    <row r="43" spans="1:16" x14ac:dyDescent="0.3">
      <c r="A43" s="32"/>
      <c r="B43" s="14"/>
      <c r="C43" s="14"/>
      <c r="D43" s="26" t="s">
        <v>232</v>
      </c>
      <c r="E43" s="71">
        <f>ROUNDUP(E39*4%*2,0)</f>
        <v>1</v>
      </c>
      <c r="F43" s="1">
        <v>0</v>
      </c>
      <c r="G43" s="78">
        <f t="shared" si="20"/>
        <v>1</v>
      </c>
      <c r="H43" s="5" t="s">
        <v>11</v>
      </c>
      <c r="I43" s="9">
        <v>0.38679999999999998</v>
      </c>
      <c r="J43" s="188">
        <f t="shared" si="21"/>
        <v>0.38679999999999998</v>
      </c>
      <c r="K43" s="9">
        <f t="shared" si="22"/>
        <v>121.66</v>
      </c>
      <c r="L43" s="29">
        <v>0.17</v>
      </c>
      <c r="M43" s="29">
        <f t="shared" si="23"/>
        <v>0.17</v>
      </c>
      <c r="N43" s="188">
        <f t="shared" si="24"/>
        <v>20.682200000000002</v>
      </c>
      <c r="O43" s="54">
        <f t="shared" si="25"/>
        <v>21.069000000000003</v>
      </c>
      <c r="P43" s="86"/>
    </row>
    <row r="44" spans="1:16" x14ac:dyDescent="0.3">
      <c r="A44" s="32"/>
      <c r="B44" s="14"/>
      <c r="C44" s="14"/>
      <c r="D44" s="26" t="s">
        <v>242</v>
      </c>
      <c r="E44" s="71">
        <f>ROUNDUP(E39*4%,0)</f>
        <v>1</v>
      </c>
      <c r="F44" s="1">
        <v>0</v>
      </c>
      <c r="G44" s="78">
        <f t="shared" si="20"/>
        <v>1</v>
      </c>
      <c r="H44" s="5" t="s">
        <v>11</v>
      </c>
      <c r="I44" s="9">
        <v>0</v>
      </c>
      <c r="J44" s="188">
        <f t="shared" si="21"/>
        <v>0</v>
      </c>
      <c r="K44" s="9">
        <f t="shared" si="22"/>
        <v>121.66</v>
      </c>
      <c r="L44" s="29">
        <v>0.24</v>
      </c>
      <c r="M44" s="29">
        <f t="shared" si="23"/>
        <v>0.24</v>
      </c>
      <c r="N44" s="188">
        <f t="shared" si="24"/>
        <v>29.198399999999999</v>
      </c>
      <c r="O44" s="54">
        <f t="shared" si="25"/>
        <v>29.198399999999999</v>
      </c>
      <c r="P44" s="86"/>
    </row>
    <row r="45" spans="1:16" x14ac:dyDescent="0.3">
      <c r="A45" s="32"/>
      <c r="B45" s="14"/>
      <c r="C45" s="14"/>
      <c r="D45" s="26" t="s">
        <v>243</v>
      </c>
      <c r="E45" s="71">
        <f>ROUNDUP(E39/8,0)</f>
        <v>1</v>
      </c>
      <c r="F45" s="1">
        <v>0</v>
      </c>
      <c r="G45" s="78">
        <f t="shared" si="20"/>
        <v>1</v>
      </c>
      <c r="H45" s="5" t="s">
        <v>11</v>
      </c>
      <c r="I45" s="9">
        <v>0.61809999999999998</v>
      </c>
      <c r="J45" s="188">
        <f t="shared" si="21"/>
        <v>0.61809999999999998</v>
      </c>
      <c r="K45" s="9">
        <f t="shared" si="22"/>
        <v>121.66</v>
      </c>
      <c r="L45" s="29">
        <v>0.13750000000000001</v>
      </c>
      <c r="M45" s="29">
        <f t="shared" si="23"/>
        <v>0.13750000000000001</v>
      </c>
      <c r="N45" s="188">
        <f t="shared" si="24"/>
        <v>16.728249999999999</v>
      </c>
      <c r="O45" s="54">
        <f t="shared" si="25"/>
        <v>17.346349999999997</v>
      </c>
      <c r="P45" s="86"/>
    </row>
    <row r="46" spans="1:16" x14ac:dyDescent="0.3">
      <c r="A46" s="32"/>
      <c r="B46" s="14"/>
      <c r="C46" s="14"/>
      <c r="D46" s="26" t="s">
        <v>234</v>
      </c>
      <c r="E46" s="71">
        <f>ROUNDUP(E39/8,0)</f>
        <v>1</v>
      </c>
      <c r="F46" s="1">
        <v>0</v>
      </c>
      <c r="G46" s="78">
        <f t="shared" si="20"/>
        <v>1</v>
      </c>
      <c r="H46" s="5" t="s">
        <v>11</v>
      </c>
      <c r="I46" s="9">
        <v>0.42549999999999999</v>
      </c>
      <c r="J46" s="188">
        <f t="shared" si="21"/>
        <v>0.42549999999999999</v>
      </c>
      <c r="K46" s="9">
        <f t="shared" si="22"/>
        <v>121.66</v>
      </c>
      <c r="L46" s="29">
        <v>0.06</v>
      </c>
      <c r="M46" s="29">
        <f t="shared" si="23"/>
        <v>0.06</v>
      </c>
      <c r="N46" s="188">
        <f t="shared" si="24"/>
        <v>7.2995999999999999</v>
      </c>
      <c r="O46" s="54">
        <f t="shared" si="25"/>
        <v>7.7250999999999994</v>
      </c>
      <c r="P46" s="86"/>
    </row>
    <row r="47" spans="1:16" s="30" customFormat="1" x14ac:dyDescent="0.3">
      <c r="A47" s="32">
        <v>8</v>
      </c>
      <c r="B47" s="14"/>
      <c r="C47" s="14"/>
      <c r="D47" s="26" t="s">
        <v>244</v>
      </c>
      <c r="E47" s="71">
        <v>20</v>
      </c>
      <c r="F47" s="1">
        <v>0.1</v>
      </c>
      <c r="G47" s="78">
        <f t="shared" si="18"/>
        <v>22</v>
      </c>
      <c r="H47" s="5" t="s">
        <v>9</v>
      </c>
      <c r="I47" s="9">
        <f>85.62/100</f>
        <v>0.85620000000000007</v>
      </c>
      <c r="J47" s="188">
        <f t="shared" si="19"/>
        <v>18.836400000000001</v>
      </c>
      <c r="K47" s="9">
        <f t="shared" si="8"/>
        <v>121.66</v>
      </c>
      <c r="L47" s="29">
        <v>5.2499999999999998E-2</v>
      </c>
      <c r="M47" s="29">
        <f t="shared" si="3"/>
        <v>1.155</v>
      </c>
      <c r="N47" s="188">
        <f t="shared" si="4"/>
        <v>140.51730000000001</v>
      </c>
      <c r="O47" s="54">
        <f t="shared" si="5"/>
        <v>159.3537</v>
      </c>
      <c r="P47" s="86"/>
    </row>
    <row r="48" spans="1:16" x14ac:dyDescent="0.3">
      <c r="A48" s="32"/>
      <c r="B48" s="14"/>
      <c r="C48" s="14"/>
      <c r="D48" s="26" t="s">
        <v>245</v>
      </c>
      <c r="E48" s="71">
        <f>ROUNDUP(E47*1%*2,0)</f>
        <v>1</v>
      </c>
      <c r="F48" s="1">
        <v>0</v>
      </c>
      <c r="G48" s="78">
        <f>E48+(E48*F48)</f>
        <v>1</v>
      </c>
      <c r="H48" s="5" t="s">
        <v>11</v>
      </c>
      <c r="I48" s="9">
        <v>12.1174</v>
      </c>
      <c r="J48" s="188">
        <f>I48*G48</f>
        <v>12.1174</v>
      </c>
      <c r="K48" s="9">
        <f>$K$5</f>
        <v>121.66</v>
      </c>
      <c r="L48" s="29">
        <v>0.5</v>
      </c>
      <c r="M48" s="29">
        <f>L48*G48</f>
        <v>0.5</v>
      </c>
      <c r="N48" s="188">
        <f>M48*K48</f>
        <v>60.83</v>
      </c>
      <c r="O48" s="54">
        <f>N48+J48</f>
        <v>72.947400000000002</v>
      </c>
      <c r="P48" s="86"/>
    </row>
    <row r="49" spans="1:16" x14ac:dyDescent="0.3">
      <c r="A49" s="32"/>
      <c r="B49" s="14"/>
      <c r="C49" s="14"/>
      <c r="D49" s="26" t="s">
        <v>246</v>
      </c>
      <c r="E49" s="71">
        <f>ROUNDUP(E47*4%*2,0)</f>
        <v>2</v>
      </c>
      <c r="F49" s="1">
        <v>0</v>
      </c>
      <c r="G49" s="78">
        <f>E49+(E49*F49)</f>
        <v>2</v>
      </c>
      <c r="H49" s="5" t="s">
        <v>11</v>
      </c>
      <c r="I49" s="9">
        <v>0.37490000000000001</v>
      </c>
      <c r="J49" s="188">
        <f>I49*G49</f>
        <v>0.74980000000000002</v>
      </c>
      <c r="K49" s="9">
        <f>$K$5</f>
        <v>121.66</v>
      </c>
      <c r="L49" s="29">
        <v>0.13</v>
      </c>
      <c r="M49" s="29">
        <f>L49*G49</f>
        <v>0.26</v>
      </c>
      <c r="N49" s="188">
        <f>M49*K49</f>
        <v>31.631599999999999</v>
      </c>
      <c r="O49" s="54">
        <f>N49+J49</f>
        <v>32.381399999999999</v>
      </c>
      <c r="P49" s="86"/>
    </row>
    <row r="50" spans="1:16" x14ac:dyDescent="0.3">
      <c r="A50" s="32"/>
      <c r="B50" s="14"/>
      <c r="C50" s="14"/>
      <c r="D50" s="26" t="s">
        <v>247</v>
      </c>
      <c r="E50" s="71">
        <f>ROUNDUP(E47*3%*4,0)</f>
        <v>3</v>
      </c>
      <c r="F50" s="1">
        <v>0</v>
      </c>
      <c r="G50" s="78">
        <f>E50+(E50*F50)</f>
        <v>3</v>
      </c>
      <c r="H50" s="5" t="s">
        <v>11</v>
      </c>
      <c r="I50" s="9">
        <v>0.38679999999999998</v>
      </c>
      <c r="J50" s="188">
        <f>I50*G50</f>
        <v>1.1603999999999999</v>
      </c>
      <c r="K50" s="9">
        <f>$K$5</f>
        <v>121.66</v>
      </c>
      <c r="L50" s="29">
        <v>0.03</v>
      </c>
      <c r="M50" s="29">
        <f>L50*G50</f>
        <v>0.09</v>
      </c>
      <c r="N50" s="188">
        <f>M50*K50</f>
        <v>10.949399999999999</v>
      </c>
      <c r="O50" s="54">
        <f>N50+J50</f>
        <v>12.109799999999998</v>
      </c>
      <c r="P50" s="86"/>
    </row>
    <row r="51" spans="1:16" x14ac:dyDescent="0.3">
      <c r="A51" s="32"/>
      <c r="B51" s="14"/>
      <c r="C51" s="14"/>
      <c r="D51" s="26" t="s">
        <v>248</v>
      </c>
      <c r="E51" s="71">
        <f>ROUNDUP(E47*4%*2,0)</f>
        <v>2</v>
      </c>
      <c r="F51" s="1">
        <v>0</v>
      </c>
      <c r="G51" s="78">
        <f>E51+(E51*F51)</f>
        <v>2</v>
      </c>
      <c r="H51" s="5" t="s">
        <v>11</v>
      </c>
      <c r="I51" s="9">
        <v>0.66879999999999995</v>
      </c>
      <c r="J51" s="188">
        <f>I51*G51</f>
        <v>1.3375999999999999</v>
      </c>
      <c r="K51" s="9">
        <f>$K$5</f>
        <v>121.66</v>
      </c>
      <c r="L51" s="29">
        <v>0.18</v>
      </c>
      <c r="M51" s="29">
        <f>L51*G51</f>
        <v>0.36</v>
      </c>
      <c r="N51" s="188">
        <f>M51*K51</f>
        <v>43.797599999999996</v>
      </c>
      <c r="O51" s="54">
        <f>N51+J51</f>
        <v>45.135199999999998</v>
      </c>
      <c r="P51" s="86"/>
    </row>
    <row r="52" spans="1:16" ht="15" thickBot="1" x14ac:dyDescent="0.35">
      <c r="A52" s="32"/>
      <c r="B52" s="40"/>
      <c r="C52" s="40"/>
      <c r="D52" s="65"/>
      <c r="E52" s="71"/>
      <c r="F52" s="1"/>
      <c r="G52" s="78"/>
      <c r="H52" s="2"/>
      <c r="I52" s="4"/>
      <c r="J52" s="187"/>
      <c r="K52" s="45"/>
      <c r="L52" s="3"/>
      <c r="M52" s="3"/>
      <c r="N52" s="4"/>
      <c r="O52" s="52"/>
      <c r="P52" s="86"/>
    </row>
    <row r="53" spans="1:16" ht="20.100000000000001" customHeight="1" thickBot="1" x14ac:dyDescent="0.35">
      <c r="A53" s="364" t="s">
        <v>10</v>
      </c>
      <c r="B53" s="365"/>
      <c r="C53" s="365"/>
      <c r="D53" s="366"/>
      <c r="E53" s="122"/>
      <c r="F53" s="1"/>
      <c r="G53" s="78"/>
      <c r="H53" s="2"/>
      <c r="I53" s="4"/>
      <c r="J53" s="187"/>
      <c r="K53" s="45"/>
      <c r="L53" s="3"/>
      <c r="M53" s="3"/>
      <c r="N53" s="4"/>
      <c r="O53" s="52"/>
      <c r="P53" s="86"/>
    </row>
    <row r="54" spans="1:16" x14ac:dyDescent="0.3">
      <c r="A54" s="32">
        <v>1</v>
      </c>
      <c r="B54" s="14"/>
      <c r="C54" s="15"/>
      <c r="D54" s="113" t="s">
        <v>105</v>
      </c>
      <c r="E54" s="71">
        <v>160</v>
      </c>
      <c r="F54" s="1">
        <v>0.1</v>
      </c>
      <c r="G54" s="78">
        <f>E54+(E54*F54)</f>
        <v>176</v>
      </c>
      <c r="H54" s="5" t="s">
        <v>9</v>
      </c>
      <c r="I54" s="114">
        <f>4773.3/1000</f>
        <v>4.7732999999999999</v>
      </c>
      <c r="J54" s="188">
        <f t="shared" ref="J54:J58" si="26">I54*G54</f>
        <v>840.10079999999994</v>
      </c>
      <c r="K54" s="9">
        <f>$K$5</f>
        <v>121.66</v>
      </c>
      <c r="L54" s="115">
        <v>3.2000000000000001E-2</v>
      </c>
      <c r="M54" s="29">
        <f t="shared" ref="M54:M58" si="27">L54*G54</f>
        <v>5.6319999999999997</v>
      </c>
      <c r="N54" s="188">
        <f t="shared" ref="N54" si="28">M54*K54</f>
        <v>685.18911999999989</v>
      </c>
      <c r="O54" s="52">
        <f t="shared" ref="O54" si="29">J54+N54</f>
        <v>1525.2899199999997</v>
      </c>
      <c r="P54" s="86"/>
    </row>
    <row r="55" spans="1:16" x14ac:dyDescent="0.3">
      <c r="A55" s="32">
        <v>2</v>
      </c>
      <c r="B55" s="14"/>
      <c r="C55" s="15"/>
      <c r="D55" s="26" t="s">
        <v>106</v>
      </c>
      <c r="E55" s="71">
        <v>2144</v>
      </c>
      <c r="F55" s="1">
        <v>0.1</v>
      </c>
      <c r="G55" s="78">
        <f t="shared" ref="G55" si="30">E55+(E55*F55)</f>
        <v>2358.4</v>
      </c>
      <c r="H55" s="5" t="s">
        <v>9</v>
      </c>
      <c r="I55" s="9">
        <f>5108.9/1000</f>
        <v>5.1088999999999993</v>
      </c>
      <c r="J55" s="188">
        <f t="shared" si="26"/>
        <v>12048.829759999999</v>
      </c>
      <c r="K55" s="9">
        <f t="shared" ref="K55:K59" si="31">$K$5</f>
        <v>121.66</v>
      </c>
      <c r="L55" s="29">
        <v>3.5999999999999997E-2</v>
      </c>
      <c r="M55" s="29">
        <f t="shared" si="27"/>
        <v>84.9024</v>
      </c>
      <c r="N55" s="188">
        <f>M55*K55</f>
        <v>10329.225984000001</v>
      </c>
      <c r="O55" s="52">
        <f>J55+N55</f>
        <v>22378.055743999998</v>
      </c>
      <c r="P55" s="86"/>
    </row>
    <row r="56" spans="1:16" x14ac:dyDescent="0.3">
      <c r="A56" s="32">
        <v>3</v>
      </c>
      <c r="B56" s="14"/>
      <c r="C56" s="15"/>
      <c r="D56" s="26" t="s">
        <v>107</v>
      </c>
      <c r="E56" s="71">
        <v>40</v>
      </c>
      <c r="F56" s="1">
        <v>0.1</v>
      </c>
      <c r="G56" s="78">
        <f>E56+(E56*F56)</f>
        <v>44</v>
      </c>
      <c r="H56" s="5" t="s">
        <v>9</v>
      </c>
      <c r="I56" s="9">
        <f>1556/1000</f>
        <v>1.556</v>
      </c>
      <c r="J56" s="188">
        <f t="shared" si="26"/>
        <v>68.463999999999999</v>
      </c>
      <c r="K56" s="9">
        <f t="shared" si="31"/>
        <v>121.66</v>
      </c>
      <c r="L56" s="29">
        <v>1.7000000000000001E-2</v>
      </c>
      <c r="M56" s="29">
        <f t="shared" si="27"/>
        <v>0.748</v>
      </c>
      <c r="N56" s="188">
        <f t="shared" ref="N56" si="32">M56*K56</f>
        <v>91.001679999999993</v>
      </c>
      <c r="O56" s="52">
        <f t="shared" ref="O56" si="33">J56+N56</f>
        <v>159.46567999999999</v>
      </c>
      <c r="P56" s="86"/>
    </row>
    <row r="57" spans="1:16" x14ac:dyDescent="0.3">
      <c r="A57" s="32">
        <v>4</v>
      </c>
      <c r="B57" s="14"/>
      <c r="C57" s="15"/>
      <c r="D57" s="26" t="s">
        <v>108</v>
      </c>
      <c r="E57" s="72">
        <v>536</v>
      </c>
      <c r="F57" s="1">
        <v>0.1</v>
      </c>
      <c r="G57" s="78">
        <f>E57+(E57*F57)</f>
        <v>589.6</v>
      </c>
      <c r="H57" s="5" t="s">
        <v>9</v>
      </c>
      <c r="I57" s="9">
        <f>1674.4/1000</f>
        <v>1.6744000000000001</v>
      </c>
      <c r="J57" s="188">
        <f t="shared" si="26"/>
        <v>987.22624000000008</v>
      </c>
      <c r="K57" s="9">
        <f t="shared" si="31"/>
        <v>121.66</v>
      </c>
      <c r="L57" s="29">
        <v>1.9E-2</v>
      </c>
      <c r="M57" s="29">
        <f t="shared" si="27"/>
        <v>11.202400000000001</v>
      </c>
      <c r="N57" s="188">
        <f>M57*K57</f>
        <v>1362.8839840000001</v>
      </c>
      <c r="O57" s="52">
        <f>J57+N57</f>
        <v>2350.110224</v>
      </c>
      <c r="P57" s="86"/>
    </row>
    <row r="58" spans="1:16" x14ac:dyDescent="0.3">
      <c r="A58" s="32">
        <v>5</v>
      </c>
      <c r="B58" s="14"/>
      <c r="C58" s="15"/>
      <c r="D58" s="26" t="s">
        <v>109</v>
      </c>
      <c r="E58" s="72">
        <v>116</v>
      </c>
      <c r="F58" s="1">
        <v>0.1</v>
      </c>
      <c r="G58" s="78">
        <f>E58+(E58*F58)</f>
        <v>127.6</v>
      </c>
      <c r="H58" s="5" t="s">
        <v>9</v>
      </c>
      <c r="I58" s="9">
        <f>985.6/1000</f>
        <v>0.98560000000000003</v>
      </c>
      <c r="J58" s="188">
        <f t="shared" si="26"/>
        <v>125.76255999999999</v>
      </c>
      <c r="K58" s="9">
        <f t="shared" si="31"/>
        <v>121.66</v>
      </c>
      <c r="L58" s="29">
        <v>1.2999999999999999E-2</v>
      </c>
      <c r="M58" s="29">
        <f t="shared" si="27"/>
        <v>1.6587999999999998</v>
      </c>
      <c r="N58" s="188">
        <f>M58*K58</f>
        <v>201.80960799999997</v>
      </c>
      <c r="O58" s="52">
        <f>J58+N58</f>
        <v>327.57216799999998</v>
      </c>
      <c r="P58" s="86"/>
    </row>
    <row r="59" spans="1:16" x14ac:dyDescent="0.3">
      <c r="A59" s="32">
        <v>6</v>
      </c>
      <c r="B59" s="14"/>
      <c r="C59" s="15"/>
      <c r="D59" s="26" t="s">
        <v>110</v>
      </c>
      <c r="E59" s="71">
        <v>52</v>
      </c>
      <c r="F59" s="1">
        <v>0.1</v>
      </c>
      <c r="G59" s="78">
        <f t="shared" ref="G59" si="34">E59+(E59*F59)</f>
        <v>57.2</v>
      </c>
      <c r="H59" s="5" t="s">
        <v>9</v>
      </c>
      <c r="I59" s="9">
        <f>1085/1000</f>
        <v>1.085</v>
      </c>
      <c r="J59" s="188">
        <f t="shared" ref="J59" si="35">I59*G59</f>
        <v>62.061999999999998</v>
      </c>
      <c r="K59" s="9">
        <f t="shared" si="31"/>
        <v>121.66</v>
      </c>
      <c r="L59" s="29">
        <v>1.4999999999999999E-2</v>
      </c>
      <c r="M59" s="29">
        <f t="shared" ref="M59" si="36">L59*G59</f>
        <v>0.85799999999999998</v>
      </c>
      <c r="N59" s="188">
        <f>M59*K59</f>
        <v>104.38427999999999</v>
      </c>
      <c r="O59" s="52">
        <f>J59+N59</f>
        <v>166.44628</v>
      </c>
      <c r="P59" s="86"/>
    </row>
    <row r="60" spans="1:16" x14ac:dyDescent="0.3">
      <c r="A60" s="32">
        <v>7</v>
      </c>
      <c r="B60" s="14"/>
      <c r="C60" s="15"/>
      <c r="D60" s="26" t="s">
        <v>111</v>
      </c>
      <c r="E60" s="71">
        <v>29</v>
      </c>
      <c r="F60" s="1">
        <v>0.1</v>
      </c>
      <c r="G60" s="78">
        <f t="shared" ref="G60" si="37">E60+(E60*F60)</f>
        <v>31.9</v>
      </c>
      <c r="H60" s="5" t="s">
        <v>9</v>
      </c>
      <c r="I60" s="9">
        <f>418.6/1000</f>
        <v>0.41860000000000003</v>
      </c>
      <c r="J60" s="188">
        <f t="shared" ref="J60:J62" si="38">I60*G60</f>
        <v>13.353340000000001</v>
      </c>
      <c r="K60" s="9">
        <f t="shared" ref="K60:K62" si="39">$K$5</f>
        <v>121.66</v>
      </c>
      <c r="L60" s="29">
        <v>8.9999999999999993E-3</v>
      </c>
      <c r="M60" s="29">
        <f t="shared" ref="M60:M62" si="40">L60*G60</f>
        <v>0.28709999999999997</v>
      </c>
      <c r="N60" s="188">
        <f>M60*K60</f>
        <v>34.928585999999996</v>
      </c>
      <c r="O60" s="52">
        <f>J60+N60</f>
        <v>48.281925999999999</v>
      </c>
      <c r="P60" s="86"/>
    </row>
    <row r="61" spans="1:16" x14ac:dyDescent="0.3">
      <c r="A61" s="32">
        <v>8</v>
      </c>
      <c r="B61" s="14"/>
      <c r="C61" s="15"/>
      <c r="D61" s="231" t="s">
        <v>112</v>
      </c>
      <c r="E61" s="71">
        <v>13</v>
      </c>
      <c r="F61" s="1">
        <v>0.1</v>
      </c>
      <c r="G61" s="78">
        <f>E61+(E61*F61)</f>
        <v>14.3</v>
      </c>
      <c r="H61" s="5" t="s">
        <v>9</v>
      </c>
      <c r="I61" s="9">
        <f>485.4/1000</f>
        <v>0.4854</v>
      </c>
      <c r="J61" s="188">
        <f t="shared" si="38"/>
        <v>6.9412200000000004</v>
      </c>
      <c r="K61" s="9">
        <f t="shared" si="39"/>
        <v>121.66</v>
      </c>
      <c r="L61" s="29">
        <v>1.0999999999999999E-2</v>
      </c>
      <c r="M61" s="29">
        <f t="shared" si="40"/>
        <v>0.1573</v>
      </c>
      <c r="N61" s="188">
        <f t="shared" ref="N61" si="41">M61*K61</f>
        <v>19.137117999999997</v>
      </c>
      <c r="O61" s="52">
        <f t="shared" ref="O61" si="42">J61+N61</f>
        <v>26.078337999999999</v>
      </c>
      <c r="P61" s="86"/>
    </row>
    <row r="62" spans="1:16" x14ac:dyDescent="0.3">
      <c r="A62" s="32">
        <v>9</v>
      </c>
      <c r="B62" s="14"/>
      <c r="C62" s="15"/>
      <c r="D62" s="26" t="s">
        <v>113</v>
      </c>
      <c r="E62" s="72">
        <v>60</v>
      </c>
      <c r="F62" s="1">
        <v>0.1</v>
      </c>
      <c r="G62" s="78">
        <f>E62+(E62*F62)</f>
        <v>66</v>
      </c>
      <c r="H62" s="5" t="s">
        <v>9</v>
      </c>
      <c r="I62" s="9">
        <v>0.29077999999999998</v>
      </c>
      <c r="J62" s="188">
        <f t="shared" si="38"/>
        <v>19.191479999999999</v>
      </c>
      <c r="K62" s="9">
        <f t="shared" si="39"/>
        <v>121.66</v>
      </c>
      <c r="L62" s="299">
        <v>8.5000000000000006E-3</v>
      </c>
      <c r="M62" s="29">
        <f t="shared" si="40"/>
        <v>0.56100000000000005</v>
      </c>
      <c r="N62" s="188">
        <f>M62*K62</f>
        <v>68.251260000000002</v>
      </c>
      <c r="O62" s="52">
        <f>J62+N62</f>
        <v>87.442740000000001</v>
      </c>
      <c r="P62" s="86"/>
    </row>
    <row r="63" spans="1:16" ht="15" thickBot="1" x14ac:dyDescent="0.35">
      <c r="A63" s="32"/>
      <c r="B63" s="40"/>
      <c r="C63" s="40"/>
      <c r="D63" s="65"/>
      <c r="E63" s="71"/>
      <c r="F63" s="1"/>
      <c r="G63" s="78"/>
      <c r="H63" s="2"/>
      <c r="I63" s="4"/>
      <c r="J63" s="187"/>
      <c r="K63" s="45"/>
      <c r="L63" s="3"/>
      <c r="M63" s="3"/>
      <c r="N63" s="4"/>
      <c r="O63" s="52"/>
      <c r="P63" s="86"/>
    </row>
    <row r="64" spans="1:16" ht="20.100000000000001" customHeight="1" thickBot="1" x14ac:dyDescent="0.35">
      <c r="A64" s="364" t="s">
        <v>19</v>
      </c>
      <c r="B64" s="365"/>
      <c r="C64" s="365"/>
      <c r="D64" s="366"/>
      <c r="E64" s="122"/>
      <c r="F64" s="1"/>
      <c r="G64" s="78"/>
      <c r="H64" s="2"/>
      <c r="I64" s="4"/>
      <c r="J64" s="187"/>
      <c r="K64" s="45"/>
      <c r="L64" s="3"/>
      <c r="M64" s="3"/>
      <c r="N64" s="4"/>
      <c r="O64" s="52"/>
      <c r="P64" s="86"/>
    </row>
    <row r="65" spans="1:16" x14ac:dyDescent="0.3">
      <c r="A65" s="32">
        <v>1</v>
      </c>
      <c r="B65" s="14"/>
      <c r="C65" s="14"/>
      <c r="D65" s="113" t="s">
        <v>214</v>
      </c>
      <c r="E65" s="71">
        <v>120</v>
      </c>
      <c r="F65" s="1">
        <v>0.1</v>
      </c>
      <c r="G65" s="78">
        <f>E65+(E65*F65)</f>
        <v>132</v>
      </c>
      <c r="H65" s="5" t="s">
        <v>9</v>
      </c>
      <c r="I65" s="9">
        <v>1.6724588235294118</v>
      </c>
      <c r="J65" s="188">
        <f t="shared" ref="J65:J68" si="43">I65*G65</f>
        <v>220.76456470588235</v>
      </c>
      <c r="K65" s="9">
        <f t="shared" ref="K65:K68" si="44">$K$5</f>
        <v>121.66</v>
      </c>
      <c r="L65" s="29">
        <v>0.02</v>
      </c>
      <c r="M65" s="29">
        <f t="shared" ref="M65:M68" si="45">L65*G65</f>
        <v>2.64</v>
      </c>
      <c r="N65" s="188">
        <f t="shared" ref="N65" si="46">M65*K65</f>
        <v>321.18240000000003</v>
      </c>
      <c r="O65" s="52">
        <f t="shared" ref="O65" si="47">J65+N65</f>
        <v>541.94696470588235</v>
      </c>
      <c r="P65" s="86"/>
    </row>
    <row r="66" spans="1:16" s="237" customFormat="1" x14ac:dyDescent="0.3">
      <c r="A66" s="228">
        <v>2</v>
      </c>
      <c r="B66" s="229"/>
      <c r="C66" s="230"/>
      <c r="D66" s="231" t="s">
        <v>114</v>
      </c>
      <c r="E66" s="232">
        <v>1</v>
      </c>
      <c r="F66" s="1">
        <v>0</v>
      </c>
      <c r="G66" s="78">
        <f t="shared" ref="G66" si="48">E66+(E66*F66)</f>
        <v>1</v>
      </c>
      <c r="H66" s="5" t="s">
        <v>11</v>
      </c>
      <c r="I66" s="233">
        <v>44</v>
      </c>
      <c r="J66" s="234">
        <f t="shared" ref="J66:J67" si="49">I66*G66</f>
        <v>44</v>
      </c>
      <c r="K66" s="233">
        <f t="shared" si="44"/>
        <v>121.66</v>
      </c>
      <c r="L66" s="235">
        <v>0.4</v>
      </c>
      <c r="M66" s="235">
        <f t="shared" ref="M66:M67" si="50">L66*G66</f>
        <v>0.4</v>
      </c>
      <c r="N66" s="234">
        <f>M66*K66</f>
        <v>48.664000000000001</v>
      </c>
      <c r="O66" s="52">
        <f>J66+N66</f>
        <v>92.664000000000001</v>
      </c>
      <c r="P66" s="236"/>
    </row>
    <row r="67" spans="1:16" s="237" customFormat="1" x14ac:dyDescent="0.3">
      <c r="A67" s="228">
        <v>3</v>
      </c>
      <c r="B67" s="229"/>
      <c r="C67" s="229"/>
      <c r="D67" s="231" t="s">
        <v>115</v>
      </c>
      <c r="E67" s="232">
        <v>4</v>
      </c>
      <c r="F67" s="1">
        <v>0</v>
      </c>
      <c r="G67" s="78">
        <f>E67+(E67*F67)</f>
        <v>4</v>
      </c>
      <c r="H67" s="5" t="s">
        <v>11</v>
      </c>
      <c r="I67" s="233">
        <v>25</v>
      </c>
      <c r="J67" s="234">
        <f t="shared" si="49"/>
        <v>100</v>
      </c>
      <c r="K67" s="233">
        <f t="shared" si="44"/>
        <v>121.66</v>
      </c>
      <c r="L67" s="235">
        <v>0.15</v>
      </c>
      <c r="M67" s="235">
        <f t="shared" si="50"/>
        <v>0.6</v>
      </c>
      <c r="N67" s="234">
        <f t="shared" ref="N67" si="51">M67*K67</f>
        <v>72.995999999999995</v>
      </c>
      <c r="O67" s="52">
        <f t="shared" ref="O67" si="52">J67+N67</f>
        <v>172.99599999999998</v>
      </c>
      <c r="P67" s="236"/>
    </row>
    <row r="68" spans="1:16" s="237" customFormat="1" x14ac:dyDescent="0.3">
      <c r="A68" s="228">
        <v>4</v>
      </c>
      <c r="B68" s="229"/>
      <c r="C68" s="230"/>
      <c r="D68" s="231" t="s">
        <v>116</v>
      </c>
      <c r="E68" s="232">
        <v>4</v>
      </c>
      <c r="F68" s="1">
        <v>0</v>
      </c>
      <c r="G68" s="78">
        <f t="shared" ref="G68" si="53">E68+(E68*F68)</f>
        <v>4</v>
      </c>
      <c r="H68" s="5" t="s">
        <v>11</v>
      </c>
      <c r="I68" s="233">
        <v>9.7899999999999991</v>
      </c>
      <c r="J68" s="234">
        <f t="shared" si="43"/>
        <v>39.159999999999997</v>
      </c>
      <c r="K68" s="233">
        <f t="shared" si="44"/>
        <v>121.66</v>
      </c>
      <c r="L68" s="235">
        <v>0.1</v>
      </c>
      <c r="M68" s="235">
        <f t="shared" si="45"/>
        <v>0.4</v>
      </c>
      <c r="N68" s="234">
        <f>M68*K68</f>
        <v>48.664000000000001</v>
      </c>
      <c r="O68" s="52">
        <f>J68+N68</f>
        <v>87.823999999999998</v>
      </c>
      <c r="P68" s="236"/>
    </row>
    <row r="69" spans="1:16" s="237" customFormat="1" ht="15" thickBot="1" x14ac:dyDescent="0.35">
      <c r="A69" s="228"/>
      <c r="B69" s="238"/>
      <c r="C69" s="238"/>
      <c r="D69" s="239"/>
      <c r="E69" s="232"/>
      <c r="F69" s="1"/>
      <c r="G69" s="78"/>
      <c r="H69" s="2"/>
      <c r="I69" s="4"/>
      <c r="J69" s="187"/>
      <c r="K69" s="45"/>
      <c r="L69" s="3"/>
      <c r="M69" s="3"/>
      <c r="N69" s="4"/>
      <c r="O69" s="52"/>
      <c r="P69" s="236"/>
    </row>
    <row r="70" spans="1:16" s="237" customFormat="1" ht="20.100000000000001" customHeight="1" thickBot="1" x14ac:dyDescent="0.35">
      <c r="A70" s="367" t="s">
        <v>20</v>
      </c>
      <c r="B70" s="368"/>
      <c r="C70" s="368"/>
      <c r="D70" s="369"/>
      <c r="E70" s="240"/>
      <c r="F70" s="1"/>
      <c r="G70" s="78"/>
      <c r="H70" s="2"/>
      <c r="I70" s="4"/>
      <c r="J70" s="187"/>
      <c r="K70" s="45"/>
      <c r="L70" s="3"/>
      <c r="M70" s="3"/>
      <c r="N70" s="4"/>
      <c r="O70" s="52"/>
      <c r="P70" s="236"/>
    </row>
    <row r="71" spans="1:16" s="237" customFormat="1" ht="15.75" customHeight="1" x14ac:dyDescent="0.3">
      <c r="A71" s="228">
        <v>1</v>
      </c>
      <c r="B71" s="229"/>
      <c r="C71" s="241"/>
      <c r="D71" s="242" t="s">
        <v>117</v>
      </c>
      <c r="E71" s="232">
        <v>1</v>
      </c>
      <c r="F71" s="1">
        <v>0</v>
      </c>
      <c r="G71" s="78">
        <f t="shared" ref="G71:G73" si="54">E71+(E71*F71)</f>
        <v>1</v>
      </c>
      <c r="H71" s="5" t="s">
        <v>11</v>
      </c>
      <c r="I71" s="49"/>
      <c r="J71" s="234">
        <f t="shared" ref="J71:J73" si="55">I71*G71</f>
        <v>0</v>
      </c>
      <c r="K71" s="233">
        <f t="shared" ref="K71:K73" si="56">$K$5</f>
        <v>121.66</v>
      </c>
      <c r="L71" s="235">
        <v>2.7</v>
      </c>
      <c r="M71" s="235">
        <f t="shared" ref="M71:M73" si="57">L71*G71</f>
        <v>2.7</v>
      </c>
      <c r="N71" s="4">
        <f t="shared" ref="N71:N73" si="58">K71*M71</f>
        <v>328.48200000000003</v>
      </c>
      <c r="O71" s="52">
        <f t="shared" ref="O71:O73" si="59">J71+N71</f>
        <v>328.48200000000003</v>
      </c>
      <c r="P71" s="236"/>
    </row>
    <row r="72" spans="1:16" s="237" customFormat="1" x14ac:dyDescent="0.3">
      <c r="A72" s="228">
        <v>2</v>
      </c>
      <c r="B72" s="229"/>
      <c r="C72" s="241"/>
      <c r="D72" s="242" t="s">
        <v>118</v>
      </c>
      <c r="E72" s="232">
        <v>1</v>
      </c>
      <c r="F72" s="1">
        <v>0</v>
      </c>
      <c r="G72" s="78">
        <f t="shared" si="54"/>
        <v>1</v>
      </c>
      <c r="H72" s="5" t="s">
        <v>11</v>
      </c>
      <c r="I72" s="49"/>
      <c r="J72" s="234">
        <f t="shared" si="55"/>
        <v>0</v>
      </c>
      <c r="K72" s="233">
        <f t="shared" si="56"/>
        <v>121.66</v>
      </c>
      <c r="L72" s="235">
        <v>4</v>
      </c>
      <c r="M72" s="235">
        <f t="shared" si="57"/>
        <v>4</v>
      </c>
      <c r="N72" s="4">
        <f t="shared" si="58"/>
        <v>486.64</v>
      </c>
      <c r="O72" s="52">
        <f t="shared" si="59"/>
        <v>486.64</v>
      </c>
      <c r="P72" s="236"/>
    </row>
    <row r="73" spans="1:16" s="237" customFormat="1" x14ac:dyDescent="0.3">
      <c r="A73" s="228">
        <v>3</v>
      </c>
      <c r="B73" s="229"/>
      <c r="C73" s="241"/>
      <c r="D73" s="242" t="s">
        <v>119</v>
      </c>
      <c r="E73" s="232">
        <v>1</v>
      </c>
      <c r="F73" s="1">
        <v>0</v>
      </c>
      <c r="G73" s="78">
        <f t="shared" si="54"/>
        <v>1</v>
      </c>
      <c r="H73" s="5" t="s">
        <v>11</v>
      </c>
      <c r="I73" s="49"/>
      <c r="J73" s="234">
        <f t="shared" si="55"/>
        <v>0</v>
      </c>
      <c r="K73" s="233">
        <f t="shared" si="56"/>
        <v>121.66</v>
      </c>
      <c r="L73" s="235">
        <v>8.8000000000000007</v>
      </c>
      <c r="M73" s="235">
        <f t="shared" si="57"/>
        <v>8.8000000000000007</v>
      </c>
      <c r="N73" s="4">
        <f t="shared" si="58"/>
        <v>1070.6079999999999</v>
      </c>
      <c r="O73" s="52">
        <f t="shared" si="59"/>
        <v>1070.6079999999999</v>
      </c>
      <c r="P73" s="236"/>
    </row>
    <row r="74" spans="1:16" ht="15" thickBot="1" x14ac:dyDescent="0.35">
      <c r="A74" s="32"/>
      <c r="B74" s="40"/>
      <c r="C74" s="40"/>
      <c r="D74" s="85"/>
      <c r="E74" s="123"/>
      <c r="F74" s="1"/>
      <c r="G74" s="78"/>
      <c r="H74" s="2"/>
      <c r="I74" s="4"/>
      <c r="J74" s="187"/>
      <c r="K74" s="4"/>
      <c r="L74" s="3"/>
      <c r="M74" s="3"/>
      <c r="N74" s="4"/>
      <c r="O74" s="52"/>
      <c r="P74" s="86"/>
    </row>
    <row r="75" spans="1:16" ht="20.100000000000001" customHeight="1" thickBot="1" x14ac:dyDescent="0.35">
      <c r="A75" s="364" t="s">
        <v>40</v>
      </c>
      <c r="B75" s="365"/>
      <c r="C75" s="365"/>
      <c r="D75" s="366"/>
      <c r="E75" s="74"/>
      <c r="F75" s="1"/>
      <c r="G75" s="78"/>
      <c r="H75" s="2"/>
      <c r="I75" s="11"/>
      <c r="J75" s="187"/>
      <c r="K75" s="4"/>
      <c r="L75" s="3"/>
      <c r="M75" s="3"/>
      <c r="N75" s="4"/>
      <c r="O75" s="52"/>
      <c r="P75" s="86"/>
    </row>
    <row r="76" spans="1:16" x14ac:dyDescent="0.3">
      <c r="A76" s="32">
        <v>1</v>
      </c>
      <c r="B76" s="14"/>
      <c r="C76" s="15"/>
      <c r="D76" s="6" t="s">
        <v>120</v>
      </c>
      <c r="E76" s="71">
        <v>37</v>
      </c>
      <c r="F76" s="1">
        <v>0</v>
      </c>
      <c r="G76" s="78">
        <f t="shared" ref="G76" si="60">E76+(E76*F76)</f>
        <v>37</v>
      </c>
      <c r="H76" s="2" t="s">
        <v>11</v>
      </c>
      <c r="I76" s="49"/>
      <c r="J76" s="188">
        <f t="shared" ref="J76" si="61">I76*G76</f>
        <v>0</v>
      </c>
      <c r="K76" s="9">
        <f t="shared" ref="K76:K82" si="62">$K$5</f>
        <v>121.66</v>
      </c>
      <c r="L76" s="29">
        <v>0.15</v>
      </c>
      <c r="M76" s="29">
        <f t="shared" ref="M76" si="63">L76*G76</f>
        <v>5.55</v>
      </c>
      <c r="N76" s="188">
        <f t="shared" ref="N76" si="64">M76*K76</f>
        <v>675.21299999999997</v>
      </c>
      <c r="O76" s="52">
        <f t="shared" ref="O76" si="65">J76+N76</f>
        <v>675.21299999999997</v>
      </c>
      <c r="P76" s="86"/>
    </row>
    <row r="77" spans="1:16" x14ac:dyDescent="0.3">
      <c r="A77" s="32">
        <v>2</v>
      </c>
      <c r="B77" s="14"/>
      <c r="C77" s="15"/>
      <c r="D77" s="6" t="s">
        <v>121</v>
      </c>
      <c r="E77" s="71">
        <v>2</v>
      </c>
      <c r="F77" s="1">
        <v>0</v>
      </c>
      <c r="G77" s="78">
        <f t="shared" ref="G77" si="66">E77+(E77*F77)</f>
        <v>2</v>
      </c>
      <c r="H77" s="2" t="s">
        <v>11</v>
      </c>
      <c r="I77" s="49"/>
      <c r="J77" s="188">
        <f t="shared" ref="J77" si="67">I77*G77</f>
        <v>0</v>
      </c>
      <c r="K77" s="9">
        <f t="shared" si="62"/>
        <v>121.66</v>
      </c>
      <c r="L77" s="29">
        <v>0.25</v>
      </c>
      <c r="M77" s="29">
        <f t="shared" ref="M77" si="68">L77*G77</f>
        <v>0.5</v>
      </c>
      <c r="N77" s="188">
        <f t="shared" ref="N77" si="69">M77*K77</f>
        <v>60.83</v>
      </c>
      <c r="O77" s="52">
        <f t="shared" ref="O77" si="70">J77+N77</f>
        <v>60.83</v>
      </c>
      <c r="P77" s="86"/>
    </row>
    <row r="78" spans="1:16" x14ac:dyDescent="0.3">
      <c r="A78" s="32">
        <v>3</v>
      </c>
      <c r="B78" s="14"/>
      <c r="C78" s="15"/>
      <c r="D78" s="6" t="s">
        <v>122</v>
      </c>
      <c r="E78" s="71">
        <v>1</v>
      </c>
      <c r="F78" s="1">
        <v>0</v>
      </c>
      <c r="G78" s="78">
        <f t="shared" ref="G78:G79" si="71">E78+(E78*F78)</f>
        <v>1</v>
      </c>
      <c r="H78" s="2" t="s">
        <v>11</v>
      </c>
      <c r="I78" s="49"/>
      <c r="J78" s="188">
        <f t="shared" ref="J78:J79" si="72">I78*G78</f>
        <v>0</v>
      </c>
      <c r="K78" s="9">
        <f t="shared" si="62"/>
        <v>121.66</v>
      </c>
      <c r="L78" s="29">
        <v>0.25</v>
      </c>
      <c r="M78" s="29">
        <f t="shared" ref="M78:M79" si="73">L78*G78</f>
        <v>0.25</v>
      </c>
      <c r="N78" s="188">
        <f t="shared" ref="N78:N79" si="74">M78*K78</f>
        <v>30.414999999999999</v>
      </c>
      <c r="O78" s="52">
        <f t="shared" ref="O78:O79" si="75">J78+N78</f>
        <v>30.414999999999999</v>
      </c>
      <c r="P78" s="86"/>
    </row>
    <row r="79" spans="1:16" x14ac:dyDescent="0.3">
      <c r="A79" s="32">
        <v>4</v>
      </c>
      <c r="B79" s="14"/>
      <c r="C79" s="15"/>
      <c r="D79" s="6" t="s">
        <v>123</v>
      </c>
      <c r="E79" s="71">
        <v>3</v>
      </c>
      <c r="F79" s="1">
        <v>0</v>
      </c>
      <c r="G79" s="78">
        <f t="shared" si="71"/>
        <v>3</v>
      </c>
      <c r="H79" s="2" t="s">
        <v>11</v>
      </c>
      <c r="I79" s="49"/>
      <c r="J79" s="188">
        <f t="shared" si="72"/>
        <v>0</v>
      </c>
      <c r="K79" s="9">
        <f t="shared" si="62"/>
        <v>121.66</v>
      </c>
      <c r="L79" s="29">
        <v>0.25</v>
      </c>
      <c r="M79" s="29">
        <f t="shared" si="73"/>
        <v>0.75</v>
      </c>
      <c r="N79" s="188">
        <f t="shared" si="74"/>
        <v>91.245000000000005</v>
      </c>
      <c r="O79" s="52">
        <f t="shared" si="75"/>
        <v>91.245000000000005</v>
      </c>
      <c r="P79" s="86"/>
    </row>
    <row r="80" spans="1:16" x14ac:dyDescent="0.3">
      <c r="A80" s="32">
        <v>5</v>
      </c>
      <c r="B80" s="14"/>
      <c r="C80" s="15"/>
      <c r="D80" s="6" t="s">
        <v>124</v>
      </c>
      <c r="E80" s="71">
        <v>1</v>
      </c>
      <c r="F80" s="1">
        <v>0</v>
      </c>
      <c r="G80" s="78">
        <f t="shared" ref="G80:G82" si="76">E80+(E80*F80)</f>
        <v>1</v>
      </c>
      <c r="H80" s="2" t="s">
        <v>11</v>
      </c>
      <c r="I80" s="49"/>
      <c r="J80" s="188">
        <f t="shared" ref="J80" si="77">I80*G80</f>
        <v>0</v>
      </c>
      <c r="K80" s="9">
        <f t="shared" si="62"/>
        <v>121.66</v>
      </c>
      <c r="L80" s="29">
        <v>0.4</v>
      </c>
      <c r="M80" s="29">
        <f t="shared" ref="M80:M82" si="78">L80*G80</f>
        <v>0.4</v>
      </c>
      <c r="N80" s="188">
        <f t="shared" ref="N80:N82" si="79">M80*K80</f>
        <v>48.664000000000001</v>
      </c>
      <c r="O80" s="52">
        <f t="shared" ref="O80:O82" si="80">J80+N80</f>
        <v>48.664000000000001</v>
      </c>
      <c r="P80" s="86"/>
    </row>
    <row r="81" spans="1:16" x14ac:dyDescent="0.3">
      <c r="A81" s="32">
        <v>6</v>
      </c>
      <c r="B81" s="14"/>
      <c r="C81" s="15"/>
      <c r="D81" s="6" t="s">
        <v>125</v>
      </c>
      <c r="E81" s="71">
        <v>1</v>
      </c>
      <c r="F81" s="1">
        <v>0</v>
      </c>
      <c r="G81" s="78">
        <f t="shared" si="76"/>
        <v>1</v>
      </c>
      <c r="H81" s="2" t="s">
        <v>11</v>
      </c>
      <c r="I81" s="49"/>
      <c r="J81" s="188">
        <f>I81*G81</f>
        <v>0</v>
      </c>
      <c r="K81" s="9">
        <f t="shared" si="62"/>
        <v>121.66</v>
      </c>
      <c r="L81" s="29">
        <v>0.4</v>
      </c>
      <c r="M81" s="29">
        <f t="shared" si="78"/>
        <v>0.4</v>
      </c>
      <c r="N81" s="188">
        <f t="shared" si="79"/>
        <v>48.664000000000001</v>
      </c>
      <c r="O81" s="52">
        <f t="shared" si="80"/>
        <v>48.664000000000001</v>
      </c>
      <c r="P81" s="86"/>
    </row>
    <row r="82" spans="1:16" s="237" customFormat="1" x14ac:dyDescent="0.3">
      <c r="A82" s="228">
        <v>7</v>
      </c>
      <c r="B82" s="229"/>
      <c r="C82" s="230"/>
      <c r="D82" s="296" t="s">
        <v>126</v>
      </c>
      <c r="E82" s="232">
        <v>1</v>
      </c>
      <c r="F82" s="1">
        <v>0</v>
      </c>
      <c r="G82" s="78">
        <f t="shared" si="76"/>
        <v>1</v>
      </c>
      <c r="H82" s="2" t="s">
        <v>11</v>
      </c>
      <c r="I82" s="49"/>
      <c r="J82" s="234">
        <f>I82*G82</f>
        <v>0</v>
      </c>
      <c r="K82" s="233">
        <f t="shared" si="62"/>
        <v>121.66</v>
      </c>
      <c r="L82" s="235">
        <v>5</v>
      </c>
      <c r="M82" s="235">
        <f t="shared" si="78"/>
        <v>5</v>
      </c>
      <c r="N82" s="234">
        <f t="shared" si="79"/>
        <v>608.29999999999995</v>
      </c>
      <c r="O82" s="52">
        <f t="shared" si="80"/>
        <v>608.29999999999995</v>
      </c>
      <c r="P82" s="236"/>
    </row>
    <row r="83" spans="1:16" ht="15" thickBot="1" x14ac:dyDescent="0.35">
      <c r="A83" s="32"/>
      <c r="B83" s="40"/>
      <c r="C83" s="40"/>
      <c r="D83" s="85"/>
      <c r="E83" s="123"/>
      <c r="F83" s="1"/>
      <c r="G83" s="78"/>
      <c r="H83" s="2"/>
      <c r="I83" s="4"/>
      <c r="J83" s="187"/>
      <c r="K83" s="4"/>
      <c r="L83" s="3"/>
      <c r="M83" s="3"/>
      <c r="N83" s="4"/>
      <c r="O83" s="52"/>
      <c r="P83" s="86"/>
    </row>
    <row r="84" spans="1:16" ht="20.100000000000001" customHeight="1" thickBot="1" x14ac:dyDescent="0.35">
      <c r="A84" s="364" t="s">
        <v>41</v>
      </c>
      <c r="B84" s="365"/>
      <c r="C84" s="365"/>
      <c r="D84" s="366"/>
      <c r="E84" s="124"/>
      <c r="F84" s="1"/>
      <c r="G84" s="78"/>
      <c r="H84" s="2"/>
      <c r="I84" s="4"/>
      <c r="J84" s="187"/>
      <c r="K84" s="4"/>
      <c r="L84" s="3"/>
      <c r="M84" s="3"/>
      <c r="N84" s="4"/>
      <c r="O84" s="52"/>
      <c r="P84" s="86"/>
    </row>
    <row r="85" spans="1:16" s="237" customFormat="1" ht="57.6" x14ac:dyDescent="0.3">
      <c r="A85" s="228">
        <v>1</v>
      </c>
      <c r="B85" s="229"/>
      <c r="C85" s="230"/>
      <c r="D85" s="243" t="s">
        <v>201</v>
      </c>
      <c r="E85" s="232">
        <v>1</v>
      </c>
      <c r="F85" s="1">
        <v>0</v>
      </c>
      <c r="G85" s="78">
        <f>E85+(E85*F85)</f>
        <v>1</v>
      </c>
      <c r="H85" s="2" t="s">
        <v>11</v>
      </c>
      <c r="I85" s="49"/>
      <c r="J85" s="234">
        <f t="shared" ref="J85:J86" si="81">I85*G85</f>
        <v>0</v>
      </c>
      <c r="K85" s="233">
        <f t="shared" ref="K85:K86" si="82">$K$5</f>
        <v>121.66</v>
      </c>
      <c r="L85" s="3">
        <v>10</v>
      </c>
      <c r="M85" s="235">
        <f t="shared" ref="M85:M86" si="83">L85*G85</f>
        <v>10</v>
      </c>
      <c r="N85" s="4">
        <f t="shared" ref="N85:N86" si="84">K85*M85</f>
        <v>1216.5999999999999</v>
      </c>
      <c r="O85" s="52">
        <f t="shared" ref="O85:O86" si="85">J85+N85</f>
        <v>1216.5999999999999</v>
      </c>
      <c r="P85" s="236"/>
    </row>
    <row r="86" spans="1:16" s="237" customFormat="1" ht="30" customHeight="1" x14ac:dyDescent="0.3">
      <c r="A86" s="228">
        <v>2</v>
      </c>
      <c r="B86" s="229"/>
      <c r="C86" s="230"/>
      <c r="D86" s="243" t="s">
        <v>127</v>
      </c>
      <c r="E86" s="232">
        <v>1</v>
      </c>
      <c r="F86" s="1">
        <v>0</v>
      </c>
      <c r="G86" s="78">
        <f t="shared" ref="G86" si="86">E86+(E86*F86)</f>
        <v>1</v>
      </c>
      <c r="H86" s="2" t="s">
        <v>11</v>
      </c>
      <c r="I86" s="49"/>
      <c r="J86" s="234">
        <f t="shared" si="81"/>
        <v>0</v>
      </c>
      <c r="K86" s="233">
        <f t="shared" si="82"/>
        <v>121.66</v>
      </c>
      <c r="L86" s="3">
        <v>11</v>
      </c>
      <c r="M86" s="235">
        <f t="shared" si="83"/>
        <v>11</v>
      </c>
      <c r="N86" s="4">
        <f t="shared" si="84"/>
        <v>1338.26</v>
      </c>
      <c r="O86" s="52">
        <f t="shared" si="85"/>
        <v>1338.26</v>
      </c>
      <c r="P86" s="236"/>
    </row>
    <row r="87" spans="1:16" ht="15" thickBot="1" x14ac:dyDescent="0.35">
      <c r="A87" s="32"/>
      <c r="B87" s="40"/>
      <c r="C87" s="40"/>
      <c r="D87" s="85"/>
      <c r="E87" s="123"/>
      <c r="F87" s="1"/>
      <c r="G87" s="78"/>
      <c r="H87" s="2"/>
      <c r="I87" s="4"/>
      <c r="J87" s="187"/>
      <c r="K87" s="4"/>
      <c r="L87" s="3"/>
      <c r="M87" s="3"/>
      <c r="N87" s="4"/>
      <c r="O87" s="52"/>
      <c r="P87" s="86"/>
    </row>
    <row r="88" spans="1:16" ht="20.100000000000001" customHeight="1" thickBot="1" x14ac:dyDescent="0.35">
      <c r="A88" s="364" t="s">
        <v>21</v>
      </c>
      <c r="B88" s="365"/>
      <c r="C88" s="365"/>
      <c r="D88" s="366"/>
      <c r="E88" s="124"/>
      <c r="F88" s="1"/>
      <c r="G88" s="78"/>
      <c r="H88" s="2"/>
      <c r="I88" s="4"/>
      <c r="J88" s="187"/>
      <c r="K88" s="4"/>
      <c r="L88" s="3"/>
      <c r="M88" s="3"/>
      <c r="N88" s="4"/>
      <c r="O88" s="52"/>
      <c r="P88" s="86"/>
    </row>
    <row r="89" spans="1:16" s="237" customFormat="1" x14ac:dyDescent="0.3">
      <c r="A89" s="228">
        <v>1</v>
      </c>
      <c r="B89" s="229"/>
      <c r="C89" s="229"/>
      <c r="D89" s="243" t="s">
        <v>128</v>
      </c>
      <c r="E89" s="72">
        <v>1</v>
      </c>
      <c r="F89" s="1">
        <v>0</v>
      </c>
      <c r="G89" s="78">
        <f t="shared" ref="G89:G91" si="87">E89+(E89*F89)</f>
        <v>1</v>
      </c>
      <c r="H89" s="5" t="s">
        <v>11</v>
      </c>
      <c r="I89" s="49"/>
      <c r="J89" s="234">
        <f t="shared" ref="J89:J91" si="88">I89*G89</f>
        <v>0</v>
      </c>
      <c r="K89" s="233">
        <f t="shared" ref="K89:K95" si="89">$K$5</f>
        <v>121.66</v>
      </c>
      <c r="L89" s="235">
        <v>4</v>
      </c>
      <c r="M89" s="235">
        <f t="shared" ref="M89:M91" si="90">L89*G89</f>
        <v>4</v>
      </c>
      <c r="N89" s="234">
        <f t="shared" ref="N89:N91" si="91">M89*K89</f>
        <v>486.64</v>
      </c>
      <c r="O89" s="52">
        <f t="shared" ref="O89:O91" si="92">J89+N89</f>
        <v>486.64</v>
      </c>
      <c r="P89" s="236"/>
    </row>
    <row r="90" spans="1:16" s="237" customFormat="1" ht="28.8" x14ac:dyDescent="0.3">
      <c r="A90" s="228">
        <v>2</v>
      </c>
      <c r="B90" s="229"/>
      <c r="C90" s="229"/>
      <c r="D90" s="243" t="s">
        <v>129</v>
      </c>
      <c r="E90" s="72">
        <v>1</v>
      </c>
      <c r="F90" s="1">
        <v>0</v>
      </c>
      <c r="G90" s="78">
        <f t="shared" si="87"/>
        <v>1</v>
      </c>
      <c r="H90" s="5" t="s">
        <v>11</v>
      </c>
      <c r="I90" s="49"/>
      <c r="J90" s="234">
        <f t="shared" si="88"/>
        <v>0</v>
      </c>
      <c r="K90" s="233">
        <f t="shared" si="89"/>
        <v>121.66</v>
      </c>
      <c r="L90" s="235">
        <v>4</v>
      </c>
      <c r="M90" s="235">
        <f t="shared" si="90"/>
        <v>4</v>
      </c>
      <c r="N90" s="234">
        <f t="shared" si="91"/>
        <v>486.64</v>
      </c>
      <c r="O90" s="52">
        <f t="shared" si="92"/>
        <v>486.64</v>
      </c>
      <c r="P90" s="236"/>
    </row>
    <row r="91" spans="1:16" s="237" customFormat="1" x14ac:dyDescent="0.3">
      <c r="A91" s="228">
        <v>3</v>
      </c>
      <c r="B91" s="229"/>
      <c r="C91" s="229"/>
      <c r="D91" s="244" t="s">
        <v>130</v>
      </c>
      <c r="E91" s="72">
        <v>1</v>
      </c>
      <c r="F91" s="1">
        <v>0</v>
      </c>
      <c r="G91" s="78">
        <f t="shared" si="87"/>
        <v>1</v>
      </c>
      <c r="H91" s="5" t="s">
        <v>11</v>
      </c>
      <c r="I91" s="49"/>
      <c r="J91" s="234">
        <f t="shared" si="88"/>
        <v>0</v>
      </c>
      <c r="K91" s="233">
        <f t="shared" si="89"/>
        <v>121.66</v>
      </c>
      <c r="L91" s="235">
        <v>1</v>
      </c>
      <c r="M91" s="235">
        <f t="shared" si="90"/>
        <v>1</v>
      </c>
      <c r="N91" s="234">
        <f t="shared" si="91"/>
        <v>121.66</v>
      </c>
      <c r="O91" s="52">
        <f t="shared" si="92"/>
        <v>121.66</v>
      </c>
      <c r="P91" s="236"/>
    </row>
    <row r="92" spans="1:16" s="237" customFormat="1" x14ac:dyDescent="0.3">
      <c r="A92" s="228">
        <v>4</v>
      </c>
      <c r="B92" s="229"/>
      <c r="C92" s="229"/>
      <c r="D92" s="243" t="s">
        <v>131</v>
      </c>
      <c r="E92" s="72">
        <v>1</v>
      </c>
      <c r="F92" s="1">
        <v>0</v>
      </c>
      <c r="G92" s="78">
        <f t="shared" ref="G92:G94" si="93">E92+(E92*F92)</f>
        <v>1</v>
      </c>
      <c r="H92" s="5" t="s">
        <v>11</v>
      </c>
      <c r="I92" s="49"/>
      <c r="J92" s="234">
        <f t="shared" ref="J92:J94" si="94">I92*G92</f>
        <v>0</v>
      </c>
      <c r="K92" s="233">
        <f t="shared" si="89"/>
        <v>121.66</v>
      </c>
      <c r="L92" s="235">
        <v>6</v>
      </c>
      <c r="M92" s="235">
        <f t="shared" ref="M92:M94" si="95">L92*G92</f>
        <v>6</v>
      </c>
      <c r="N92" s="234">
        <f t="shared" ref="N92:N94" si="96">M92*K92</f>
        <v>729.96</v>
      </c>
      <c r="O92" s="52">
        <f t="shared" ref="O92:O94" si="97">J92+N92</f>
        <v>729.96</v>
      </c>
      <c r="P92" s="236"/>
    </row>
    <row r="93" spans="1:16" s="237" customFormat="1" x14ac:dyDescent="0.3">
      <c r="A93" s="228">
        <v>5</v>
      </c>
      <c r="B93" s="229"/>
      <c r="C93" s="229"/>
      <c r="D93" s="243" t="s">
        <v>132</v>
      </c>
      <c r="E93" s="72">
        <v>1</v>
      </c>
      <c r="F93" s="1">
        <v>0</v>
      </c>
      <c r="G93" s="78">
        <f t="shared" ref="G93" si="98">E93+(E93*F93)</f>
        <v>1</v>
      </c>
      <c r="H93" s="5" t="s">
        <v>11</v>
      </c>
      <c r="I93" s="49"/>
      <c r="J93" s="234">
        <f t="shared" ref="J93" si="99">I93*G93</f>
        <v>0</v>
      </c>
      <c r="K93" s="233">
        <f t="shared" si="89"/>
        <v>121.66</v>
      </c>
      <c r="L93" s="235">
        <v>4</v>
      </c>
      <c r="M93" s="235">
        <f t="shared" ref="M93" si="100">L93*G93</f>
        <v>4</v>
      </c>
      <c r="N93" s="234">
        <f t="shared" ref="N93" si="101">M93*K93</f>
        <v>486.64</v>
      </c>
      <c r="O93" s="52">
        <f t="shared" ref="O93" si="102">J93+N93</f>
        <v>486.64</v>
      </c>
      <c r="P93" s="236"/>
    </row>
    <row r="94" spans="1:16" s="237" customFormat="1" x14ac:dyDescent="0.3">
      <c r="A94" s="228">
        <v>6</v>
      </c>
      <c r="B94" s="229"/>
      <c r="C94" s="229"/>
      <c r="D94" s="243" t="s">
        <v>133</v>
      </c>
      <c r="E94" s="72">
        <v>1</v>
      </c>
      <c r="F94" s="1">
        <v>0</v>
      </c>
      <c r="G94" s="78">
        <f t="shared" si="93"/>
        <v>1</v>
      </c>
      <c r="H94" s="5" t="s">
        <v>11</v>
      </c>
      <c r="I94" s="49"/>
      <c r="J94" s="234">
        <f t="shared" si="94"/>
        <v>0</v>
      </c>
      <c r="K94" s="233">
        <f t="shared" si="89"/>
        <v>121.66</v>
      </c>
      <c r="L94" s="235">
        <v>10</v>
      </c>
      <c r="M94" s="235">
        <f t="shared" si="95"/>
        <v>10</v>
      </c>
      <c r="N94" s="234">
        <f t="shared" si="96"/>
        <v>1216.5999999999999</v>
      </c>
      <c r="O94" s="52">
        <f t="shared" si="97"/>
        <v>1216.5999999999999</v>
      </c>
      <c r="P94" s="236"/>
    </row>
    <row r="95" spans="1:16" s="237" customFormat="1" x14ac:dyDescent="0.3">
      <c r="A95" s="228">
        <v>7</v>
      </c>
      <c r="B95" s="229"/>
      <c r="C95" s="229"/>
      <c r="D95" s="243" t="s">
        <v>134</v>
      </c>
      <c r="E95" s="72">
        <v>1</v>
      </c>
      <c r="F95" s="1">
        <v>0</v>
      </c>
      <c r="G95" s="78">
        <f t="shared" ref="G95" si="103">E95+(E95*F95)</f>
        <v>1</v>
      </c>
      <c r="H95" s="5" t="s">
        <v>11</v>
      </c>
      <c r="I95" s="49"/>
      <c r="J95" s="234">
        <f t="shared" ref="J95" si="104">I95*G95</f>
        <v>0</v>
      </c>
      <c r="K95" s="233">
        <f t="shared" si="89"/>
        <v>121.66</v>
      </c>
      <c r="L95" s="235">
        <v>20</v>
      </c>
      <c r="M95" s="235">
        <f t="shared" ref="M95" si="105">L95*G95</f>
        <v>20</v>
      </c>
      <c r="N95" s="234">
        <f t="shared" ref="N95" si="106">M95*K95</f>
        <v>2433.1999999999998</v>
      </c>
      <c r="O95" s="52">
        <f t="shared" ref="O95" si="107">J95+N95</f>
        <v>2433.1999999999998</v>
      </c>
      <c r="P95" s="236"/>
    </row>
    <row r="96" spans="1:16" s="237" customFormat="1" ht="15" thickBot="1" x14ac:dyDescent="0.35">
      <c r="A96" s="228"/>
      <c r="B96" s="238"/>
      <c r="C96" s="238"/>
      <c r="D96" s="245"/>
      <c r="E96" s="246"/>
      <c r="F96" s="1"/>
      <c r="G96" s="78"/>
      <c r="H96" s="2"/>
      <c r="I96" s="4"/>
      <c r="J96" s="187"/>
      <c r="K96" s="4"/>
      <c r="L96" s="3"/>
      <c r="M96" s="3"/>
      <c r="N96" s="4"/>
      <c r="O96" s="52"/>
      <c r="P96" s="236"/>
    </row>
    <row r="97" spans="1:16" s="237" customFormat="1" ht="20.100000000000001" customHeight="1" thickBot="1" x14ac:dyDescent="0.35">
      <c r="A97" s="367" t="s">
        <v>95</v>
      </c>
      <c r="B97" s="368"/>
      <c r="C97" s="368"/>
      <c r="D97" s="369"/>
      <c r="E97" s="247"/>
      <c r="F97" s="1"/>
      <c r="G97" s="78"/>
      <c r="H97" s="2"/>
      <c r="I97" s="4"/>
      <c r="J97" s="187"/>
      <c r="K97" s="4"/>
      <c r="L97" s="3"/>
      <c r="M97" s="3"/>
      <c r="N97" s="4"/>
      <c r="O97" s="52"/>
      <c r="P97" s="236"/>
    </row>
    <row r="98" spans="1:16" s="237" customFormat="1" x14ac:dyDescent="0.3">
      <c r="A98" s="228">
        <v>1</v>
      </c>
      <c r="B98" s="229"/>
      <c r="C98" s="229"/>
      <c r="D98" s="243" t="s">
        <v>135</v>
      </c>
      <c r="E98" s="72">
        <v>1</v>
      </c>
      <c r="F98" s="1">
        <v>0</v>
      </c>
      <c r="G98" s="78">
        <f t="shared" ref="G98:G104" si="108">E98+(E98*F98)</f>
        <v>1</v>
      </c>
      <c r="H98" s="5" t="s">
        <v>11</v>
      </c>
      <c r="I98" s="233">
        <v>30</v>
      </c>
      <c r="J98" s="234">
        <f t="shared" ref="J98:J104" si="109">I98*G98</f>
        <v>30</v>
      </c>
      <c r="K98" s="233">
        <f t="shared" ref="K98:K104" si="110">$K$5</f>
        <v>121.66</v>
      </c>
      <c r="L98" s="235">
        <v>0.2</v>
      </c>
      <c r="M98" s="235">
        <f t="shared" ref="M98:M104" si="111">L98*G98</f>
        <v>0.2</v>
      </c>
      <c r="N98" s="234">
        <f t="shared" ref="N98:N104" si="112">M98*K98</f>
        <v>24.332000000000001</v>
      </c>
      <c r="O98" s="52">
        <f t="shared" ref="O98:O104" si="113">J98+N98</f>
        <v>54.332000000000001</v>
      </c>
      <c r="P98" s="236"/>
    </row>
    <row r="99" spans="1:16" s="237" customFormat="1" x14ac:dyDescent="0.3">
      <c r="A99" s="228">
        <v>2</v>
      </c>
      <c r="B99" s="229"/>
      <c r="C99" s="229"/>
      <c r="D99" s="243" t="s">
        <v>136</v>
      </c>
      <c r="E99" s="72">
        <v>1</v>
      </c>
      <c r="F99" s="1">
        <v>0</v>
      </c>
      <c r="G99" s="78">
        <f t="shared" ref="G99:G102" si="114">E99+(E99*F99)</f>
        <v>1</v>
      </c>
      <c r="H99" s="5" t="s">
        <v>11</v>
      </c>
      <c r="I99" s="233">
        <v>30</v>
      </c>
      <c r="J99" s="234">
        <f t="shared" ref="J99:J102" si="115">I99*G99</f>
        <v>30</v>
      </c>
      <c r="K99" s="233">
        <f t="shared" si="110"/>
        <v>121.66</v>
      </c>
      <c r="L99" s="235">
        <v>0.2</v>
      </c>
      <c r="M99" s="235">
        <f t="shared" ref="M99:M102" si="116">L99*G99</f>
        <v>0.2</v>
      </c>
      <c r="N99" s="234">
        <f t="shared" ref="N99:N102" si="117">M99*K99</f>
        <v>24.332000000000001</v>
      </c>
      <c r="O99" s="52">
        <f t="shared" ref="O99:O102" si="118">J99+N99</f>
        <v>54.332000000000001</v>
      </c>
      <c r="P99" s="236"/>
    </row>
    <row r="100" spans="1:16" s="237" customFormat="1" x14ac:dyDescent="0.3">
      <c r="A100" s="228">
        <v>3</v>
      </c>
      <c r="B100" s="229"/>
      <c r="C100" s="229"/>
      <c r="D100" s="243" t="s">
        <v>137</v>
      </c>
      <c r="E100" s="232">
        <v>1</v>
      </c>
      <c r="F100" s="1">
        <v>0</v>
      </c>
      <c r="G100" s="78">
        <f t="shared" si="114"/>
        <v>1</v>
      </c>
      <c r="H100" s="5" t="s">
        <v>11</v>
      </c>
      <c r="I100" s="233">
        <v>30</v>
      </c>
      <c r="J100" s="234">
        <f t="shared" si="115"/>
        <v>30</v>
      </c>
      <c r="K100" s="233">
        <f t="shared" si="110"/>
        <v>121.66</v>
      </c>
      <c r="L100" s="235">
        <v>0.2</v>
      </c>
      <c r="M100" s="235">
        <f t="shared" si="116"/>
        <v>0.2</v>
      </c>
      <c r="N100" s="234">
        <f t="shared" si="117"/>
        <v>24.332000000000001</v>
      </c>
      <c r="O100" s="52">
        <f t="shared" si="118"/>
        <v>54.332000000000001</v>
      </c>
      <c r="P100" s="236"/>
    </row>
    <row r="101" spans="1:16" s="237" customFormat="1" x14ac:dyDescent="0.3">
      <c r="A101" s="228">
        <v>4</v>
      </c>
      <c r="B101" s="229"/>
      <c r="C101" s="229"/>
      <c r="D101" s="243" t="s">
        <v>138</v>
      </c>
      <c r="E101" s="232">
        <v>1</v>
      </c>
      <c r="F101" s="1">
        <v>0</v>
      </c>
      <c r="G101" s="78">
        <f t="shared" ref="G101" si="119">E101+(E101*F101)</f>
        <v>1</v>
      </c>
      <c r="H101" s="5" t="s">
        <v>11</v>
      </c>
      <c r="I101" s="233">
        <v>30</v>
      </c>
      <c r="J101" s="234">
        <f t="shared" ref="J101" si="120">I101*G101</f>
        <v>30</v>
      </c>
      <c r="K101" s="233">
        <f t="shared" si="110"/>
        <v>121.66</v>
      </c>
      <c r="L101" s="235">
        <v>0.2</v>
      </c>
      <c r="M101" s="235">
        <f t="shared" ref="M101" si="121">L101*G101</f>
        <v>0.2</v>
      </c>
      <c r="N101" s="234">
        <f t="shared" ref="N101" si="122">M101*K101</f>
        <v>24.332000000000001</v>
      </c>
      <c r="O101" s="52">
        <f t="shared" ref="O101" si="123">J101+N101</f>
        <v>54.332000000000001</v>
      </c>
      <c r="P101" s="236"/>
    </row>
    <row r="102" spans="1:16" s="237" customFormat="1" x14ac:dyDescent="0.3">
      <c r="A102" s="228">
        <v>5</v>
      </c>
      <c r="B102" s="229"/>
      <c r="C102" s="229"/>
      <c r="D102" s="243" t="s">
        <v>139</v>
      </c>
      <c r="E102" s="232">
        <v>1</v>
      </c>
      <c r="F102" s="1">
        <v>0</v>
      </c>
      <c r="G102" s="78">
        <f t="shared" si="114"/>
        <v>1</v>
      </c>
      <c r="H102" s="5" t="s">
        <v>11</v>
      </c>
      <c r="I102" s="233">
        <v>30</v>
      </c>
      <c r="J102" s="234">
        <f t="shared" si="115"/>
        <v>30</v>
      </c>
      <c r="K102" s="233">
        <f t="shared" si="110"/>
        <v>121.66</v>
      </c>
      <c r="L102" s="235">
        <v>0.2</v>
      </c>
      <c r="M102" s="235">
        <f t="shared" si="116"/>
        <v>0.2</v>
      </c>
      <c r="N102" s="234">
        <f t="shared" si="117"/>
        <v>24.332000000000001</v>
      </c>
      <c r="O102" s="52">
        <f t="shared" si="118"/>
        <v>54.332000000000001</v>
      </c>
      <c r="P102" s="236"/>
    </row>
    <row r="103" spans="1:16" s="237" customFormat="1" x14ac:dyDescent="0.3">
      <c r="A103" s="228">
        <v>6</v>
      </c>
      <c r="B103" s="229"/>
      <c r="C103" s="229"/>
      <c r="D103" s="243" t="s">
        <v>140</v>
      </c>
      <c r="E103" s="72">
        <v>3</v>
      </c>
      <c r="F103" s="1">
        <v>0</v>
      </c>
      <c r="G103" s="78">
        <f t="shared" si="108"/>
        <v>3</v>
      </c>
      <c r="H103" s="5" t="s">
        <v>11</v>
      </c>
      <c r="I103" s="233">
        <v>30</v>
      </c>
      <c r="J103" s="234">
        <f t="shared" si="109"/>
        <v>90</v>
      </c>
      <c r="K103" s="233">
        <f t="shared" si="110"/>
        <v>121.66</v>
      </c>
      <c r="L103" s="235">
        <v>0.2</v>
      </c>
      <c r="M103" s="235">
        <f t="shared" si="111"/>
        <v>0.60000000000000009</v>
      </c>
      <c r="N103" s="234">
        <f t="shared" si="112"/>
        <v>72.996000000000009</v>
      </c>
      <c r="O103" s="52">
        <f t="shared" si="113"/>
        <v>162.99600000000001</v>
      </c>
      <c r="P103" s="236"/>
    </row>
    <row r="104" spans="1:16" s="237" customFormat="1" x14ac:dyDescent="0.3">
      <c r="A104" s="228">
        <v>7</v>
      </c>
      <c r="B104" s="229"/>
      <c r="C104" s="229"/>
      <c r="D104" s="243" t="s">
        <v>141</v>
      </c>
      <c r="E104" s="232">
        <v>2</v>
      </c>
      <c r="F104" s="1">
        <v>0</v>
      </c>
      <c r="G104" s="78">
        <f t="shared" si="108"/>
        <v>2</v>
      </c>
      <c r="H104" s="5" t="s">
        <v>11</v>
      </c>
      <c r="I104" s="233">
        <v>30</v>
      </c>
      <c r="J104" s="234">
        <f t="shared" si="109"/>
        <v>60</v>
      </c>
      <c r="K104" s="233">
        <f t="shared" si="110"/>
        <v>121.66</v>
      </c>
      <c r="L104" s="235">
        <v>0.2</v>
      </c>
      <c r="M104" s="235">
        <f t="shared" si="111"/>
        <v>0.4</v>
      </c>
      <c r="N104" s="234">
        <f t="shared" si="112"/>
        <v>48.664000000000001</v>
      </c>
      <c r="O104" s="52">
        <f t="shared" si="113"/>
        <v>108.664</v>
      </c>
      <c r="P104" s="236"/>
    </row>
    <row r="105" spans="1:16" s="237" customFormat="1" ht="15" thickBot="1" x14ac:dyDescent="0.35">
      <c r="A105" s="228"/>
      <c r="B105" s="238"/>
      <c r="C105" s="238"/>
      <c r="D105" s="245"/>
      <c r="E105" s="246"/>
      <c r="F105" s="1"/>
      <c r="G105" s="78"/>
      <c r="H105" s="2"/>
      <c r="I105" s="4"/>
      <c r="J105" s="187"/>
      <c r="K105" s="4"/>
      <c r="L105" s="3"/>
      <c r="M105" s="3"/>
      <c r="N105" s="4"/>
      <c r="O105" s="52"/>
      <c r="P105" s="236"/>
    </row>
    <row r="106" spans="1:16" s="237" customFormat="1" ht="20.100000000000001" customHeight="1" thickBot="1" x14ac:dyDescent="0.35">
      <c r="A106" s="367" t="s">
        <v>59</v>
      </c>
      <c r="B106" s="368"/>
      <c r="C106" s="368"/>
      <c r="D106" s="369"/>
      <c r="E106" s="247"/>
      <c r="F106" s="1"/>
      <c r="G106" s="78"/>
      <c r="H106" s="2"/>
      <c r="I106" s="4"/>
      <c r="J106" s="187"/>
      <c r="K106" s="4"/>
      <c r="L106" s="3"/>
      <c r="M106" s="3"/>
      <c r="N106" s="4"/>
      <c r="O106" s="52"/>
      <c r="P106" s="236"/>
    </row>
    <row r="107" spans="1:16" s="237" customFormat="1" x14ac:dyDescent="0.3">
      <c r="A107" s="228">
        <v>1</v>
      </c>
      <c r="B107" s="229"/>
      <c r="C107" s="229"/>
      <c r="D107" s="243" t="s">
        <v>97</v>
      </c>
      <c r="E107" s="72">
        <v>4</v>
      </c>
      <c r="F107" s="1">
        <v>0</v>
      </c>
      <c r="G107" s="78">
        <f t="shared" ref="G107:G112" si="124">E107+(E107*F107)</f>
        <v>4</v>
      </c>
      <c r="H107" s="5" t="s">
        <v>11</v>
      </c>
      <c r="I107" s="233">
        <v>4</v>
      </c>
      <c r="J107" s="234">
        <f t="shared" ref="J107:J112" si="125">I107*G107</f>
        <v>16</v>
      </c>
      <c r="K107" s="233">
        <f t="shared" ref="K107:K113" si="126">$K$5</f>
        <v>121.66</v>
      </c>
      <c r="L107" s="235">
        <v>0.2</v>
      </c>
      <c r="M107" s="235">
        <f t="shared" ref="M107:M112" si="127">L107*G107</f>
        <v>0.8</v>
      </c>
      <c r="N107" s="234">
        <f t="shared" ref="N107:N112" si="128">M107*K107</f>
        <v>97.328000000000003</v>
      </c>
      <c r="O107" s="52">
        <f t="shared" ref="O107:O112" si="129">J107+N107</f>
        <v>113.328</v>
      </c>
      <c r="P107" s="236"/>
    </row>
    <row r="108" spans="1:16" s="237" customFormat="1" x14ac:dyDescent="0.3">
      <c r="A108" s="228">
        <v>2</v>
      </c>
      <c r="B108" s="229"/>
      <c r="C108" s="241"/>
      <c r="D108" s="242" t="s">
        <v>98</v>
      </c>
      <c r="E108" s="232">
        <f>(E132+E157+E158+E159+E160+E161)/100</f>
        <v>13.65</v>
      </c>
      <c r="F108" s="1">
        <v>0</v>
      </c>
      <c r="G108" s="78">
        <f t="shared" si="124"/>
        <v>13.65</v>
      </c>
      <c r="H108" s="5" t="s">
        <v>11</v>
      </c>
      <c r="I108" s="233">
        <v>0.6</v>
      </c>
      <c r="J108" s="234">
        <f t="shared" si="125"/>
        <v>8.19</v>
      </c>
      <c r="K108" s="233">
        <f t="shared" si="126"/>
        <v>121.66</v>
      </c>
      <c r="L108" s="235">
        <v>1.4999999999999999E-2</v>
      </c>
      <c r="M108" s="235">
        <f t="shared" si="127"/>
        <v>0.20474999999999999</v>
      </c>
      <c r="N108" s="234">
        <f t="shared" si="128"/>
        <v>24.909884999999999</v>
      </c>
      <c r="O108" s="52">
        <f t="shared" si="129"/>
        <v>33.099885</v>
      </c>
      <c r="P108" s="236"/>
    </row>
    <row r="109" spans="1:16" s="237" customFormat="1" x14ac:dyDescent="0.3">
      <c r="A109" s="228">
        <v>3</v>
      </c>
      <c r="B109" s="229"/>
      <c r="C109" s="241"/>
      <c r="D109" s="242" t="s">
        <v>99</v>
      </c>
      <c r="E109" s="232">
        <v>12</v>
      </c>
      <c r="F109" s="1">
        <v>0</v>
      </c>
      <c r="G109" s="78">
        <f t="shared" si="124"/>
        <v>12</v>
      </c>
      <c r="H109" s="5" t="s">
        <v>11</v>
      </c>
      <c r="I109" s="233">
        <v>3.6</v>
      </c>
      <c r="J109" s="234">
        <f t="shared" si="125"/>
        <v>43.2</v>
      </c>
      <c r="K109" s="233">
        <f t="shared" si="126"/>
        <v>121.66</v>
      </c>
      <c r="L109" s="235">
        <v>0.1</v>
      </c>
      <c r="M109" s="235">
        <f t="shared" si="127"/>
        <v>1.2000000000000002</v>
      </c>
      <c r="N109" s="234">
        <f t="shared" si="128"/>
        <v>145.99200000000002</v>
      </c>
      <c r="O109" s="52">
        <f t="shared" si="129"/>
        <v>189.19200000000001</v>
      </c>
      <c r="P109" s="236"/>
    </row>
    <row r="110" spans="1:16" s="237" customFormat="1" x14ac:dyDescent="0.3">
      <c r="A110" s="228">
        <v>4</v>
      </c>
      <c r="B110" s="229"/>
      <c r="C110" s="241"/>
      <c r="D110" s="242" t="s">
        <v>212</v>
      </c>
      <c r="E110" s="232">
        <v>1</v>
      </c>
      <c r="F110" s="1">
        <v>0</v>
      </c>
      <c r="G110" s="78">
        <f t="shared" si="124"/>
        <v>1</v>
      </c>
      <c r="H110" s="5" t="s">
        <v>11</v>
      </c>
      <c r="I110" s="233">
        <v>45</v>
      </c>
      <c r="J110" s="234">
        <f t="shared" si="125"/>
        <v>45</v>
      </c>
      <c r="K110" s="233">
        <f t="shared" si="126"/>
        <v>121.66</v>
      </c>
      <c r="L110" s="235">
        <v>0.5</v>
      </c>
      <c r="M110" s="235">
        <f t="shared" si="127"/>
        <v>0.5</v>
      </c>
      <c r="N110" s="234">
        <f t="shared" si="128"/>
        <v>60.83</v>
      </c>
      <c r="O110" s="52">
        <f t="shared" si="129"/>
        <v>105.83</v>
      </c>
      <c r="P110" s="236"/>
    </row>
    <row r="111" spans="1:16" s="237" customFormat="1" x14ac:dyDescent="0.3">
      <c r="A111" s="228">
        <v>5</v>
      </c>
      <c r="B111" s="229"/>
      <c r="C111" s="241"/>
      <c r="D111" s="242" t="s">
        <v>209</v>
      </c>
      <c r="E111" s="232">
        <v>268</v>
      </c>
      <c r="F111" s="1">
        <v>0</v>
      </c>
      <c r="G111" s="78">
        <f t="shared" si="124"/>
        <v>268</v>
      </c>
      <c r="H111" s="5" t="s">
        <v>9</v>
      </c>
      <c r="I111" s="233">
        <v>4</v>
      </c>
      <c r="J111" s="234">
        <f t="shared" si="125"/>
        <v>1072</v>
      </c>
      <c r="K111" s="233">
        <f t="shared" si="126"/>
        <v>121.66</v>
      </c>
      <c r="L111" s="235">
        <v>5.5E-2</v>
      </c>
      <c r="M111" s="235">
        <f t="shared" si="127"/>
        <v>14.74</v>
      </c>
      <c r="N111" s="234">
        <f t="shared" si="128"/>
        <v>1793.2683999999999</v>
      </c>
      <c r="O111" s="52">
        <f t="shared" si="129"/>
        <v>2865.2683999999999</v>
      </c>
      <c r="P111" s="236"/>
    </row>
    <row r="112" spans="1:16" s="237" customFormat="1" x14ac:dyDescent="0.3">
      <c r="A112" s="228">
        <v>6</v>
      </c>
      <c r="B112" s="229"/>
      <c r="C112" s="241"/>
      <c r="D112" s="242" t="s">
        <v>210</v>
      </c>
      <c r="E112" s="232">
        <v>31</v>
      </c>
      <c r="F112" s="1">
        <v>0</v>
      </c>
      <c r="G112" s="78">
        <f t="shared" si="124"/>
        <v>31</v>
      </c>
      <c r="H112" s="5" t="s">
        <v>9</v>
      </c>
      <c r="I112" s="233">
        <v>4</v>
      </c>
      <c r="J112" s="234">
        <f t="shared" si="125"/>
        <v>124</v>
      </c>
      <c r="K112" s="233">
        <f t="shared" si="126"/>
        <v>121.66</v>
      </c>
      <c r="L112" s="235">
        <v>0.05</v>
      </c>
      <c r="M112" s="235">
        <f t="shared" si="127"/>
        <v>1.55</v>
      </c>
      <c r="N112" s="234">
        <f t="shared" si="128"/>
        <v>188.57300000000001</v>
      </c>
      <c r="O112" s="52">
        <f t="shared" si="129"/>
        <v>312.57299999999998</v>
      </c>
      <c r="P112" s="236"/>
    </row>
    <row r="113" spans="1:16" s="237" customFormat="1" x14ac:dyDescent="0.3">
      <c r="A113" s="228">
        <v>7</v>
      </c>
      <c r="B113" s="229"/>
      <c r="C113" s="241"/>
      <c r="D113" s="242" t="s">
        <v>211</v>
      </c>
      <c r="E113" s="232">
        <v>95</v>
      </c>
      <c r="F113" s="1">
        <v>0</v>
      </c>
      <c r="G113" s="78">
        <f t="shared" ref="G113" si="130">E113+(E113*F113)</f>
        <v>95</v>
      </c>
      <c r="H113" s="5" t="s">
        <v>9</v>
      </c>
      <c r="I113" s="233">
        <v>4.5</v>
      </c>
      <c r="J113" s="234">
        <f t="shared" ref="J113" si="131">I113*G113</f>
        <v>427.5</v>
      </c>
      <c r="K113" s="233">
        <f t="shared" si="126"/>
        <v>121.66</v>
      </c>
      <c r="L113" s="235">
        <v>0.05</v>
      </c>
      <c r="M113" s="235">
        <f t="shared" ref="M113" si="132">L113*G113</f>
        <v>4.75</v>
      </c>
      <c r="N113" s="234">
        <f t="shared" ref="N113" si="133">M113*K113</f>
        <v>577.88499999999999</v>
      </c>
      <c r="O113" s="52">
        <f t="shared" ref="O113" si="134">J113+N113</f>
        <v>1005.385</v>
      </c>
      <c r="P113" s="236"/>
    </row>
    <row r="114" spans="1:16" s="30" customFormat="1" ht="15" thickBot="1" x14ac:dyDescent="0.35">
      <c r="A114" s="25"/>
      <c r="B114" s="50"/>
      <c r="C114" s="50"/>
      <c r="D114" s="65"/>
      <c r="E114" s="126"/>
      <c r="F114" s="64"/>
      <c r="G114" s="182"/>
      <c r="H114" s="63"/>
      <c r="I114" s="67"/>
      <c r="J114" s="189"/>
      <c r="K114" s="67"/>
      <c r="L114" s="68"/>
      <c r="M114" s="68"/>
      <c r="N114" s="188"/>
      <c r="O114" s="51"/>
      <c r="P114" s="70"/>
    </row>
    <row r="115" spans="1:16" s="30" customFormat="1" ht="30" customHeight="1" thickBot="1" x14ac:dyDescent="0.35">
      <c r="A115" s="25"/>
      <c r="B115" s="50"/>
      <c r="C115" s="76"/>
      <c r="D115" s="374" t="s">
        <v>39</v>
      </c>
      <c r="E115" s="375"/>
      <c r="F115" s="375"/>
      <c r="G115" s="375"/>
      <c r="H115" s="375"/>
      <c r="I115" s="375"/>
      <c r="J115" s="315"/>
      <c r="K115" s="75"/>
      <c r="L115" s="68"/>
      <c r="M115" s="68"/>
      <c r="N115" s="188"/>
      <c r="O115" s="52">
        <f>J115</f>
        <v>0</v>
      </c>
      <c r="P115" s="70"/>
    </row>
    <row r="116" spans="1:16" ht="15" thickBot="1" x14ac:dyDescent="0.35">
      <c r="A116" s="32"/>
      <c r="B116" s="40"/>
      <c r="C116" s="40"/>
      <c r="D116" s="65"/>
      <c r="E116" s="71"/>
      <c r="F116" s="1"/>
      <c r="G116" s="182"/>
      <c r="H116" s="22"/>
      <c r="I116" s="56"/>
      <c r="J116" s="187"/>
      <c r="K116" s="57"/>
      <c r="L116" s="58"/>
      <c r="M116" s="58"/>
      <c r="N116" s="4"/>
      <c r="O116" s="51"/>
      <c r="P116" s="87"/>
    </row>
    <row r="117" spans="1:16" s="90" customFormat="1" ht="16.2" thickBot="1" x14ac:dyDescent="0.35">
      <c r="A117" s="59"/>
      <c r="B117" s="60"/>
      <c r="C117" s="60"/>
      <c r="D117" s="88"/>
      <c r="E117" s="127"/>
      <c r="F117" s="61"/>
      <c r="G117" s="370" t="s">
        <v>37</v>
      </c>
      <c r="H117" s="371"/>
      <c r="I117" s="185">
        <f>SUM(J6:J116)</f>
        <v>22206.289944705884</v>
      </c>
      <c r="J117" s="372" t="s">
        <v>38</v>
      </c>
      <c r="K117" s="373"/>
      <c r="L117" s="194">
        <f>SUM(N6:N116)</f>
        <v>51178.255975000007</v>
      </c>
      <c r="M117" s="116"/>
      <c r="N117" s="191"/>
      <c r="O117" s="62"/>
      <c r="P117" s="89">
        <f>SUM(O6:O116)</f>
        <v>73384.545919705837</v>
      </c>
    </row>
    <row r="118" spans="1:16" ht="15" thickBot="1" x14ac:dyDescent="0.35">
      <c r="A118" s="32"/>
      <c r="B118" s="40"/>
      <c r="C118" s="40"/>
      <c r="D118" s="65"/>
      <c r="E118" s="71"/>
      <c r="F118" s="1"/>
      <c r="G118" s="182"/>
      <c r="H118" s="22"/>
      <c r="I118" s="56"/>
      <c r="J118" s="187"/>
      <c r="K118" s="57"/>
      <c r="L118" s="58"/>
      <c r="M118" s="58"/>
      <c r="N118" s="4"/>
      <c r="O118" s="51"/>
      <c r="P118" s="87"/>
    </row>
    <row r="119" spans="1:16" ht="30" customHeight="1" thickBot="1" x14ac:dyDescent="0.35">
      <c r="A119" s="322" t="s">
        <v>27</v>
      </c>
      <c r="B119" s="323"/>
      <c r="C119" s="323"/>
      <c r="D119" s="323"/>
      <c r="E119" s="323"/>
      <c r="F119" s="323"/>
      <c r="G119" s="323"/>
      <c r="H119" s="324"/>
      <c r="I119" s="20"/>
      <c r="J119" s="4"/>
      <c r="K119" s="4"/>
      <c r="L119" s="3"/>
      <c r="M119" s="3"/>
      <c r="N119" s="4"/>
      <c r="O119" s="52"/>
      <c r="P119" s="70"/>
    </row>
    <row r="120" spans="1:16" ht="20.100000000000001" customHeight="1" thickBot="1" x14ac:dyDescent="0.35">
      <c r="A120" s="364" t="s">
        <v>56</v>
      </c>
      <c r="B120" s="365"/>
      <c r="C120" s="365"/>
      <c r="D120" s="366"/>
      <c r="E120" s="74"/>
      <c r="F120" s="1"/>
      <c r="G120" s="78"/>
      <c r="H120" s="2"/>
      <c r="I120" s="11"/>
      <c r="J120" s="187"/>
      <c r="K120" s="4"/>
      <c r="L120" s="3"/>
      <c r="M120" s="3"/>
      <c r="N120" s="4"/>
      <c r="O120" s="52"/>
      <c r="P120" s="70"/>
    </row>
    <row r="121" spans="1:16" ht="15" customHeight="1" x14ac:dyDescent="0.3">
      <c r="A121" s="32">
        <v>1</v>
      </c>
      <c r="B121" s="132"/>
      <c r="C121" s="33"/>
      <c r="D121" s="26" t="s">
        <v>142</v>
      </c>
      <c r="E121" s="72">
        <v>820</v>
      </c>
      <c r="F121" s="1">
        <v>0.1</v>
      </c>
      <c r="G121" s="78">
        <f>E121+(E121*F121)</f>
        <v>902</v>
      </c>
      <c r="H121" s="5" t="s">
        <v>9</v>
      </c>
      <c r="I121" s="9">
        <v>0.58640000000000003</v>
      </c>
      <c r="J121" s="188">
        <f t="shared" ref="J121:J122" si="135">I121*G121</f>
        <v>528.93280000000004</v>
      </c>
      <c r="K121" s="9">
        <f>$K$5</f>
        <v>121.66</v>
      </c>
      <c r="L121" s="29">
        <v>2.5999999999999999E-2</v>
      </c>
      <c r="M121" s="29">
        <f t="shared" ref="M121:M122" si="136">L121*G121</f>
        <v>23.451999999999998</v>
      </c>
      <c r="N121" s="188">
        <f t="shared" ref="N121:N122" si="137">M121*K121</f>
        <v>2853.1703199999997</v>
      </c>
      <c r="O121" s="52">
        <f t="shared" ref="O121:O122" si="138">J121+N121</f>
        <v>3382.1031199999998</v>
      </c>
      <c r="P121" s="94"/>
    </row>
    <row r="122" spans="1:16" s="237" customFormat="1" ht="15" customHeight="1" x14ac:dyDescent="0.3">
      <c r="A122" s="228">
        <v>2</v>
      </c>
      <c r="B122" s="248"/>
      <c r="C122" s="249"/>
      <c r="D122" s="231" t="s">
        <v>143</v>
      </c>
      <c r="E122" s="72">
        <v>182</v>
      </c>
      <c r="F122" s="1">
        <v>0.1</v>
      </c>
      <c r="G122" s="78">
        <f>E122+(E122*F122)</f>
        <v>200.2</v>
      </c>
      <c r="H122" s="5" t="s">
        <v>9</v>
      </c>
      <c r="I122" s="233">
        <v>0.14499999999999999</v>
      </c>
      <c r="J122" s="234">
        <f t="shared" si="135"/>
        <v>29.028999999999996</v>
      </c>
      <c r="K122" s="233">
        <f t="shared" ref="K122" si="139">$K$5</f>
        <v>121.66</v>
      </c>
      <c r="L122" s="235">
        <v>3.2000000000000002E-3</v>
      </c>
      <c r="M122" s="235">
        <f t="shared" si="136"/>
        <v>0.64063999999999999</v>
      </c>
      <c r="N122" s="234">
        <f t="shared" si="137"/>
        <v>77.940262399999995</v>
      </c>
      <c r="O122" s="52">
        <f t="shared" si="138"/>
        <v>106.96926239999999</v>
      </c>
      <c r="P122" s="250"/>
    </row>
    <row r="123" spans="1:16" ht="15" thickBot="1" x14ac:dyDescent="0.35">
      <c r="A123" s="37"/>
      <c r="B123" s="41"/>
      <c r="C123" s="41"/>
      <c r="D123" s="13"/>
      <c r="E123" s="73"/>
      <c r="F123" s="18"/>
      <c r="G123" s="183"/>
      <c r="H123" s="19"/>
      <c r="I123" s="11"/>
      <c r="J123" s="187"/>
      <c r="K123" s="4"/>
      <c r="L123" s="3"/>
      <c r="M123" s="3"/>
      <c r="N123" s="4"/>
      <c r="O123" s="52"/>
      <c r="P123" s="70"/>
    </row>
    <row r="124" spans="1:16" ht="20.100000000000001" customHeight="1" thickBot="1" x14ac:dyDescent="0.35">
      <c r="A124" s="364" t="s">
        <v>57</v>
      </c>
      <c r="B124" s="365"/>
      <c r="C124" s="365"/>
      <c r="D124" s="366"/>
      <c r="E124" s="74"/>
      <c r="F124" s="1"/>
      <c r="G124" s="78"/>
      <c r="H124" s="2"/>
      <c r="I124" s="11"/>
      <c r="J124" s="187"/>
      <c r="K124" s="4"/>
      <c r="L124" s="3"/>
      <c r="M124" s="3"/>
      <c r="N124" s="4"/>
      <c r="O124" s="52"/>
      <c r="P124" s="70"/>
    </row>
    <row r="125" spans="1:16" s="30" customFormat="1" ht="15" customHeight="1" x14ac:dyDescent="0.3">
      <c r="A125" s="32">
        <v>1</v>
      </c>
      <c r="B125" s="131"/>
      <c r="C125" s="84"/>
      <c r="D125" s="26" t="s">
        <v>249</v>
      </c>
      <c r="E125" s="71">
        <v>12</v>
      </c>
      <c r="F125" s="27">
        <v>0.1</v>
      </c>
      <c r="G125" s="78">
        <f>E125+(E125*F125)</f>
        <v>13.2</v>
      </c>
      <c r="H125" s="28" t="s">
        <v>9</v>
      </c>
      <c r="I125" s="9">
        <f>58.67/100</f>
        <v>0.5867</v>
      </c>
      <c r="J125" s="188">
        <f>I125*G125</f>
        <v>7.74444</v>
      </c>
      <c r="K125" s="9">
        <f t="shared" ref="K125" si="140">$K$5</f>
        <v>121.66</v>
      </c>
      <c r="L125" s="31">
        <v>4.4999999999999998E-2</v>
      </c>
      <c r="M125" s="29">
        <f>L125*G125</f>
        <v>0.59399999999999997</v>
      </c>
      <c r="N125" s="188">
        <f t="shared" ref="N125" si="141">M125*K125</f>
        <v>72.26603999999999</v>
      </c>
      <c r="O125" s="52">
        <f>N125+J125</f>
        <v>80.010479999999987</v>
      </c>
      <c r="P125" s="86"/>
    </row>
    <row r="126" spans="1:16" x14ac:dyDescent="0.3">
      <c r="A126" s="32"/>
      <c r="B126" s="131"/>
      <c r="C126" s="84"/>
      <c r="D126" s="26" t="s">
        <v>250</v>
      </c>
      <c r="E126" s="71">
        <f>ROUNDUP(E125*3%*2,0)</f>
        <v>1</v>
      </c>
      <c r="F126" s="1">
        <v>0</v>
      </c>
      <c r="G126" s="78">
        <f>E126+(E126*F126)</f>
        <v>1</v>
      </c>
      <c r="H126" s="28" t="s">
        <v>11</v>
      </c>
      <c r="I126" s="9">
        <v>7.7549999999999999</v>
      </c>
      <c r="J126" s="188">
        <f>I126*G126</f>
        <v>7.7549999999999999</v>
      </c>
      <c r="K126" s="9">
        <f>$K$5</f>
        <v>121.66</v>
      </c>
      <c r="L126" s="31">
        <v>0.4</v>
      </c>
      <c r="M126" s="29">
        <f>L126*G126</f>
        <v>0.4</v>
      </c>
      <c r="N126" s="188">
        <f>M126*K126</f>
        <v>48.664000000000001</v>
      </c>
      <c r="O126" s="52">
        <f>N126+J126</f>
        <v>56.419000000000004</v>
      </c>
      <c r="P126" s="86"/>
    </row>
    <row r="127" spans="1:16" x14ac:dyDescent="0.3">
      <c r="A127" s="32"/>
      <c r="B127" s="131"/>
      <c r="C127" s="84"/>
      <c r="D127" s="26" t="s">
        <v>251</v>
      </c>
      <c r="E127" s="71">
        <f>ROUNDUP(E125*4%*2,0)</f>
        <v>1</v>
      </c>
      <c r="F127" s="1">
        <v>0</v>
      </c>
      <c r="G127" s="78">
        <f>E127+(E127*F127)</f>
        <v>1</v>
      </c>
      <c r="H127" s="28" t="s">
        <v>11</v>
      </c>
      <c r="I127" s="9">
        <v>0.17899999999999999</v>
      </c>
      <c r="J127" s="188">
        <f>I127*G127</f>
        <v>0.17899999999999999</v>
      </c>
      <c r="K127" s="9">
        <f>$K$5</f>
        <v>121.66</v>
      </c>
      <c r="L127" s="31">
        <v>0.12</v>
      </c>
      <c r="M127" s="29">
        <f>L127*G127</f>
        <v>0.12</v>
      </c>
      <c r="N127" s="188">
        <f>M127*K127</f>
        <v>14.5992</v>
      </c>
      <c r="O127" s="52">
        <f>N127+J127</f>
        <v>14.7782</v>
      </c>
      <c r="P127" s="86"/>
    </row>
    <row r="128" spans="1:16" x14ac:dyDescent="0.3">
      <c r="A128" s="32"/>
      <c r="B128" s="131"/>
      <c r="C128" s="84"/>
      <c r="D128" s="26" t="s">
        <v>252</v>
      </c>
      <c r="E128" s="71">
        <f>ROUNDUP(E125*3%*4,0)</f>
        <v>2</v>
      </c>
      <c r="F128" s="1">
        <v>0</v>
      </c>
      <c r="G128" s="78">
        <f>E128+(E128*F128)</f>
        <v>2</v>
      </c>
      <c r="H128" s="28" t="s">
        <v>11</v>
      </c>
      <c r="I128" s="9">
        <v>0.25480000000000003</v>
      </c>
      <c r="J128" s="188">
        <f>I128*G128</f>
        <v>0.50960000000000005</v>
      </c>
      <c r="K128" s="9">
        <f>$K$5</f>
        <v>121.66</v>
      </c>
      <c r="L128" s="31">
        <v>0.03</v>
      </c>
      <c r="M128" s="29">
        <f>L128*G128</f>
        <v>0.06</v>
      </c>
      <c r="N128" s="188">
        <f>M128*K128</f>
        <v>7.2995999999999999</v>
      </c>
      <c r="O128" s="52">
        <f>N128+J128</f>
        <v>7.8091999999999997</v>
      </c>
      <c r="P128" s="86"/>
    </row>
    <row r="129" spans="1:16" x14ac:dyDescent="0.3">
      <c r="A129" s="32"/>
      <c r="B129" s="131"/>
      <c r="C129" s="84"/>
      <c r="D129" s="26" t="s">
        <v>253</v>
      </c>
      <c r="E129" s="71">
        <f>ROUNDUP(E125*4%*2,0)</f>
        <v>1</v>
      </c>
      <c r="F129" s="1">
        <v>0</v>
      </c>
      <c r="G129" s="78">
        <f>E129+(E129*F129)</f>
        <v>1</v>
      </c>
      <c r="H129" s="28" t="s">
        <v>11</v>
      </c>
      <c r="I129" s="9">
        <v>0.49180000000000001</v>
      </c>
      <c r="J129" s="188">
        <f>I129*G129</f>
        <v>0.49180000000000001</v>
      </c>
      <c r="K129" s="9">
        <f>$K$5</f>
        <v>121.66</v>
      </c>
      <c r="L129" s="31">
        <v>0.16</v>
      </c>
      <c r="M129" s="29">
        <f>L129*G129</f>
        <v>0.16</v>
      </c>
      <c r="N129" s="188">
        <f>M129*K129</f>
        <v>19.465599999999998</v>
      </c>
      <c r="O129" s="52">
        <f>N129+J129</f>
        <v>19.9574</v>
      </c>
      <c r="P129" s="86"/>
    </row>
    <row r="130" spans="1:16" ht="15" thickBot="1" x14ac:dyDescent="0.35">
      <c r="A130" s="37"/>
      <c r="B130" s="41"/>
      <c r="C130" s="41"/>
      <c r="D130" s="13"/>
      <c r="E130" s="73"/>
      <c r="F130" s="18"/>
      <c r="G130" s="183"/>
      <c r="H130" s="19"/>
      <c r="I130" s="11"/>
      <c r="J130" s="187"/>
      <c r="K130" s="4"/>
      <c r="L130" s="3"/>
      <c r="M130" s="3"/>
      <c r="N130" s="4"/>
      <c r="O130" s="52"/>
      <c r="P130" s="70"/>
    </row>
    <row r="131" spans="1:16" ht="20.100000000000001" customHeight="1" thickBot="1" x14ac:dyDescent="0.35">
      <c r="A131" s="364" t="s">
        <v>58</v>
      </c>
      <c r="B131" s="365"/>
      <c r="C131" s="365"/>
      <c r="D131" s="366"/>
      <c r="E131" s="74"/>
      <c r="F131" s="1"/>
      <c r="G131" s="78"/>
      <c r="H131" s="2"/>
      <c r="I131" s="11"/>
      <c r="J131" s="187"/>
      <c r="K131" s="4"/>
      <c r="L131" s="3"/>
      <c r="M131" s="3"/>
      <c r="N131" s="4"/>
      <c r="O131" s="52"/>
      <c r="P131" s="70"/>
    </row>
    <row r="132" spans="1:16" ht="15" customHeight="1" x14ac:dyDescent="0.3">
      <c r="A132" s="32">
        <v>1</v>
      </c>
      <c r="B132" s="132"/>
      <c r="C132" s="33"/>
      <c r="D132" s="26" t="s">
        <v>144</v>
      </c>
      <c r="E132" s="72">
        <v>36</v>
      </c>
      <c r="F132" s="1">
        <v>0.1</v>
      </c>
      <c r="G132" s="78">
        <f>E132+(E132*F132)</f>
        <v>39.6</v>
      </c>
      <c r="H132" s="5" t="s">
        <v>9</v>
      </c>
      <c r="I132" s="9">
        <f>147.5/1000</f>
        <v>0.14749999999999999</v>
      </c>
      <c r="J132" s="188">
        <f t="shared" ref="J132" si="142">I132*G132</f>
        <v>5.8410000000000002</v>
      </c>
      <c r="K132" s="9">
        <f>$K$5</f>
        <v>121.66</v>
      </c>
      <c r="L132" s="29">
        <v>6.0000000000000001E-3</v>
      </c>
      <c r="M132" s="29">
        <f t="shared" ref="M132" si="143">L132*G132</f>
        <v>0.23760000000000001</v>
      </c>
      <c r="N132" s="188">
        <f t="shared" ref="N132" si="144">M132*K132</f>
        <v>28.906416</v>
      </c>
      <c r="O132" s="52">
        <f t="shared" ref="O132" si="145">J132+N132</f>
        <v>34.747416000000001</v>
      </c>
      <c r="P132" s="94"/>
    </row>
    <row r="133" spans="1:16" ht="15" customHeight="1" x14ac:dyDescent="0.3">
      <c r="A133" s="32">
        <v>2</v>
      </c>
      <c r="B133" s="131"/>
      <c r="C133" s="33"/>
      <c r="D133" s="26" t="s">
        <v>145</v>
      </c>
      <c r="E133" s="72">
        <v>844</v>
      </c>
      <c r="F133" s="1">
        <v>0.1</v>
      </c>
      <c r="G133" s="78">
        <f>E133+(E133*F133)</f>
        <v>928.4</v>
      </c>
      <c r="H133" s="5" t="s">
        <v>9</v>
      </c>
      <c r="I133" s="9">
        <v>0.58640000000000003</v>
      </c>
      <c r="J133" s="188">
        <f t="shared" ref="J133" si="146">I133*G133</f>
        <v>544.41376000000002</v>
      </c>
      <c r="K133" s="9">
        <f t="shared" ref="K133" si="147">$K$5</f>
        <v>121.66</v>
      </c>
      <c r="L133" s="29">
        <v>2.5999999999999999E-2</v>
      </c>
      <c r="M133" s="29">
        <f t="shared" ref="M133" si="148">L133*G133</f>
        <v>24.138399999999997</v>
      </c>
      <c r="N133" s="188">
        <f t="shared" ref="N133" si="149">M133*K133</f>
        <v>2936.6777439999996</v>
      </c>
      <c r="O133" s="52">
        <f t="shared" ref="O133" si="150">J133+N133</f>
        <v>3481.0915039999995</v>
      </c>
      <c r="P133" s="94"/>
    </row>
    <row r="134" spans="1:16" ht="15" thickBot="1" x14ac:dyDescent="0.35">
      <c r="A134" s="37"/>
      <c r="B134" s="41"/>
      <c r="C134" s="41"/>
      <c r="D134" s="13"/>
      <c r="E134" s="73"/>
      <c r="F134" s="18"/>
      <c r="G134" s="183"/>
      <c r="H134" s="19"/>
      <c r="I134" s="11"/>
      <c r="J134" s="187"/>
      <c r="K134" s="4"/>
      <c r="L134" s="3"/>
      <c r="M134" s="3"/>
      <c r="N134" s="4"/>
      <c r="O134" s="52"/>
      <c r="P134" s="70"/>
    </row>
    <row r="135" spans="1:16" ht="20.100000000000001" customHeight="1" thickBot="1" x14ac:dyDescent="0.35">
      <c r="A135" s="364" t="s">
        <v>101</v>
      </c>
      <c r="B135" s="365"/>
      <c r="C135" s="365"/>
      <c r="D135" s="366"/>
      <c r="E135" s="74"/>
      <c r="F135" s="1"/>
      <c r="G135" s="78"/>
      <c r="H135" s="2"/>
      <c r="I135" s="11"/>
      <c r="J135" s="187"/>
      <c r="K135" s="4"/>
      <c r="L135" s="3"/>
      <c r="M135" s="3"/>
      <c r="N135" s="4"/>
      <c r="O135" s="52"/>
      <c r="P135" s="70"/>
    </row>
    <row r="136" spans="1:16" s="30" customFormat="1" ht="15" customHeight="1" x14ac:dyDescent="0.3">
      <c r="A136" s="32">
        <v>1</v>
      </c>
      <c r="B136" s="131"/>
      <c r="C136" s="84"/>
      <c r="D136" s="26" t="s">
        <v>229</v>
      </c>
      <c r="E136" s="71">
        <v>20</v>
      </c>
      <c r="F136" s="27">
        <v>0.1</v>
      </c>
      <c r="G136" s="78">
        <f t="shared" ref="G136:G141" si="151">E136+(E136*F136)</f>
        <v>22</v>
      </c>
      <c r="H136" s="28" t="s">
        <v>9</v>
      </c>
      <c r="I136">
        <f>285.76/100</f>
        <v>2.8575999999999997</v>
      </c>
      <c r="J136" s="188">
        <f t="shared" ref="J136:J141" si="152">I136*G136</f>
        <v>62.867199999999997</v>
      </c>
      <c r="K136" s="9">
        <f t="shared" ref="K136:K154" si="153">$K$5</f>
        <v>121.66</v>
      </c>
      <c r="L136" s="31">
        <v>6.2E-2</v>
      </c>
      <c r="M136" s="29">
        <f t="shared" ref="M136:M141" si="154">L136*G136</f>
        <v>1.3639999999999999</v>
      </c>
      <c r="N136" s="188">
        <f t="shared" ref="N136:N154" si="155">M136*K136</f>
        <v>165.94423999999998</v>
      </c>
      <c r="O136" s="52">
        <f t="shared" ref="O136:O141" si="156">N136+J136</f>
        <v>228.81143999999998</v>
      </c>
      <c r="P136" s="86"/>
    </row>
    <row r="137" spans="1:16" x14ac:dyDescent="0.3">
      <c r="A137" s="32"/>
      <c r="B137" s="131"/>
      <c r="C137" s="84"/>
      <c r="D137" s="26" t="s">
        <v>230</v>
      </c>
      <c r="E137" s="71">
        <f>ROUNDUP(E136*8%,0)</f>
        <v>2</v>
      </c>
      <c r="F137" s="1">
        <v>0</v>
      </c>
      <c r="G137" s="78">
        <f t="shared" si="151"/>
        <v>2</v>
      </c>
      <c r="H137" s="28" t="s">
        <v>11</v>
      </c>
      <c r="I137" s="9">
        <v>1.97</v>
      </c>
      <c r="J137" s="188">
        <f t="shared" si="152"/>
        <v>3.94</v>
      </c>
      <c r="K137" s="9">
        <f>$K$5</f>
        <v>121.66</v>
      </c>
      <c r="L137" s="31">
        <v>0.4</v>
      </c>
      <c r="M137" s="29">
        <f t="shared" si="154"/>
        <v>0.8</v>
      </c>
      <c r="N137" s="188">
        <f>M137*K137</f>
        <v>97.328000000000003</v>
      </c>
      <c r="O137" s="52">
        <f t="shared" si="156"/>
        <v>101.268</v>
      </c>
      <c r="P137" s="86"/>
    </row>
    <row r="138" spans="1:16" x14ac:dyDescent="0.3">
      <c r="A138" s="32"/>
      <c r="B138" s="131"/>
      <c r="C138" s="84"/>
      <c r="D138" s="26" t="s">
        <v>231</v>
      </c>
      <c r="E138" s="71">
        <f>ROUNDUP(E136/10,0)</f>
        <v>2</v>
      </c>
      <c r="F138" s="1">
        <v>0</v>
      </c>
      <c r="G138" s="78">
        <f t="shared" si="151"/>
        <v>2</v>
      </c>
      <c r="H138" s="28" t="s">
        <v>11</v>
      </c>
      <c r="I138" s="9">
        <v>2.36</v>
      </c>
      <c r="J138" s="188">
        <f t="shared" si="152"/>
        <v>4.72</v>
      </c>
      <c r="K138" s="9">
        <f>$K$5</f>
        <v>121.66</v>
      </c>
      <c r="L138" s="31">
        <v>0.2</v>
      </c>
      <c r="M138" s="29">
        <f t="shared" si="154"/>
        <v>0.4</v>
      </c>
      <c r="N138" s="188">
        <f>M138*K138</f>
        <v>48.664000000000001</v>
      </c>
      <c r="O138" s="52">
        <f t="shared" si="156"/>
        <v>53.384</v>
      </c>
      <c r="P138" s="86"/>
    </row>
    <row r="139" spans="1:16" x14ac:dyDescent="0.3">
      <c r="A139" s="32"/>
      <c r="B139" s="131"/>
      <c r="C139" s="84"/>
      <c r="D139" s="26" t="s">
        <v>232</v>
      </c>
      <c r="E139" s="71">
        <f>ROUNDUP(E136*8%,0)</f>
        <v>2</v>
      </c>
      <c r="F139" s="1">
        <v>0</v>
      </c>
      <c r="G139" s="78">
        <f t="shared" si="151"/>
        <v>2</v>
      </c>
      <c r="H139" s="28" t="s">
        <v>11</v>
      </c>
      <c r="I139" s="9">
        <v>0.38679999999999998</v>
      </c>
      <c r="J139" s="188">
        <f t="shared" si="152"/>
        <v>0.77359999999999995</v>
      </c>
      <c r="K139" s="9">
        <f>$K$5</f>
        <v>121.66</v>
      </c>
      <c r="L139" s="31">
        <v>0.17</v>
      </c>
      <c r="M139" s="29">
        <f t="shared" si="154"/>
        <v>0.34</v>
      </c>
      <c r="N139" s="188">
        <f>M139*K139</f>
        <v>41.364400000000003</v>
      </c>
      <c r="O139" s="52">
        <f t="shared" si="156"/>
        <v>42.138000000000005</v>
      </c>
      <c r="P139" s="86"/>
    </row>
    <row r="140" spans="1:16" x14ac:dyDescent="0.3">
      <c r="A140" s="32"/>
      <c r="B140" s="131"/>
      <c r="C140" s="84"/>
      <c r="D140" s="26" t="s">
        <v>233</v>
      </c>
      <c r="E140" s="71">
        <f>ROUNDUP(E136/10,0)</f>
        <v>2</v>
      </c>
      <c r="F140" s="1">
        <v>0</v>
      </c>
      <c r="G140" s="78">
        <f t="shared" si="151"/>
        <v>2</v>
      </c>
      <c r="H140" s="28" t="s">
        <v>11</v>
      </c>
      <c r="I140" s="9">
        <v>1.4134</v>
      </c>
      <c r="J140" s="188">
        <f t="shared" si="152"/>
        <v>2.8268</v>
      </c>
      <c r="K140" s="9">
        <f>$K$5</f>
        <v>121.66</v>
      </c>
      <c r="L140" s="31">
        <v>4.2500000000000003E-2</v>
      </c>
      <c r="M140" s="29">
        <f t="shared" si="154"/>
        <v>8.5000000000000006E-2</v>
      </c>
      <c r="N140" s="188">
        <f>M140*K140</f>
        <v>10.341100000000001</v>
      </c>
      <c r="O140" s="52">
        <f t="shared" si="156"/>
        <v>13.167900000000001</v>
      </c>
      <c r="P140" s="86"/>
    </row>
    <row r="141" spans="1:16" x14ac:dyDescent="0.3">
      <c r="A141" s="32"/>
      <c r="B141" s="131"/>
      <c r="C141" s="84"/>
      <c r="D141" s="26" t="s">
        <v>234</v>
      </c>
      <c r="E141" s="71">
        <f>ROUNDUP(E136/10,0)</f>
        <v>2</v>
      </c>
      <c r="F141" s="1">
        <v>0</v>
      </c>
      <c r="G141" s="78">
        <f t="shared" si="151"/>
        <v>2</v>
      </c>
      <c r="H141" s="28" t="s">
        <v>11</v>
      </c>
      <c r="I141" s="9">
        <v>0.42549999999999999</v>
      </c>
      <c r="J141" s="188">
        <f t="shared" si="152"/>
        <v>0.85099999999999998</v>
      </c>
      <c r="K141" s="9">
        <f>$K$5</f>
        <v>121.66</v>
      </c>
      <c r="L141" s="31">
        <v>0.06</v>
      </c>
      <c r="M141" s="29">
        <f t="shared" si="154"/>
        <v>0.12</v>
      </c>
      <c r="N141" s="188">
        <f>M141*K141</f>
        <v>14.5992</v>
      </c>
      <c r="O141" s="52">
        <f t="shared" si="156"/>
        <v>15.450199999999999</v>
      </c>
      <c r="P141" s="86"/>
    </row>
    <row r="142" spans="1:16" s="30" customFormat="1" x14ac:dyDescent="0.3">
      <c r="A142" s="32">
        <v>2</v>
      </c>
      <c r="B142" s="131"/>
      <c r="C142" s="14"/>
      <c r="D142" s="26" t="s">
        <v>104</v>
      </c>
      <c r="E142" s="71">
        <v>4</v>
      </c>
      <c r="F142" s="27">
        <v>0.1</v>
      </c>
      <c r="G142" s="78">
        <f t="shared" ref="G142" si="157">E142+(E142*F142)</f>
        <v>4.4000000000000004</v>
      </c>
      <c r="H142" s="28" t="s">
        <v>9</v>
      </c>
      <c r="I142" s="9">
        <v>4.6978</v>
      </c>
      <c r="J142" s="188">
        <f t="shared" ref="J142" si="158">I142*G142</f>
        <v>20.67032</v>
      </c>
      <c r="K142" s="9">
        <f t="shared" si="153"/>
        <v>121.66</v>
      </c>
      <c r="L142" s="31">
        <v>0.1</v>
      </c>
      <c r="M142" s="29">
        <f t="shared" ref="M142" si="159">L142*G142</f>
        <v>0.44000000000000006</v>
      </c>
      <c r="N142" s="188">
        <f t="shared" ref="N142" si="160">M142*K142</f>
        <v>53.530400000000007</v>
      </c>
      <c r="O142" s="52">
        <f t="shared" ref="O142" si="161">J142+N142</f>
        <v>74.200720000000004</v>
      </c>
      <c r="P142" s="86"/>
    </row>
    <row r="143" spans="1:16" s="30" customFormat="1" x14ac:dyDescent="0.3">
      <c r="A143" s="32">
        <v>3</v>
      </c>
      <c r="B143" s="131"/>
      <c r="C143" s="14"/>
      <c r="D143" s="26" t="s">
        <v>235</v>
      </c>
      <c r="E143" s="71">
        <v>22</v>
      </c>
      <c r="F143" s="27">
        <v>0.1</v>
      </c>
      <c r="G143" s="78">
        <f t="shared" ref="G143:G154" si="162">E143+(E143*F143)</f>
        <v>24.2</v>
      </c>
      <c r="H143" s="28" t="s">
        <v>9</v>
      </c>
      <c r="I143" s="9">
        <f>123.3/100</f>
        <v>1.2329999999999999</v>
      </c>
      <c r="J143" s="188">
        <f t="shared" ref="J143:J154" si="163">I143*G143</f>
        <v>29.838599999999996</v>
      </c>
      <c r="K143" s="9">
        <f t="shared" si="153"/>
        <v>121.66</v>
      </c>
      <c r="L143" s="31">
        <v>0.06</v>
      </c>
      <c r="M143" s="29">
        <f t="shared" ref="M143:M154" si="164">L143*G143</f>
        <v>1.452</v>
      </c>
      <c r="N143" s="188">
        <f t="shared" si="155"/>
        <v>176.65031999999999</v>
      </c>
      <c r="O143" s="52">
        <f t="shared" ref="O143:O154" si="165">N143+J143</f>
        <v>206.48891999999998</v>
      </c>
      <c r="P143" s="86"/>
    </row>
    <row r="144" spans="1:16" x14ac:dyDescent="0.3">
      <c r="A144" s="32"/>
      <c r="B144" s="131"/>
      <c r="C144" s="14"/>
      <c r="D144" s="26" t="s">
        <v>236</v>
      </c>
      <c r="E144" s="71">
        <f>ROUNDUP(E143*1%*2,0)</f>
        <v>1</v>
      </c>
      <c r="F144" s="1">
        <v>0</v>
      </c>
      <c r="G144" s="78">
        <f>E144+(E144*F144)</f>
        <v>1</v>
      </c>
      <c r="H144" s="28" t="s">
        <v>11</v>
      </c>
      <c r="I144" s="9">
        <v>16.937200000000001</v>
      </c>
      <c r="J144" s="188">
        <f>I144*G144</f>
        <v>16.937200000000001</v>
      </c>
      <c r="K144" s="9">
        <f>$K$5</f>
        <v>121.66</v>
      </c>
      <c r="L144" s="31">
        <v>0.6</v>
      </c>
      <c r="M144" s="29">
        <f>L144*G144</f>
        <v>0.6</v>
      </c>
      <c r="N144" s="188">
        <f>M144*K144</f>
        <v>72.995999999999995</v>
      </c>
      <c r="O144" s="52">
        <f>N144+J144</f>
        <v>89.933199999999999</v>
      </c>
      <c r="P144" s="86"/>
    </row>
    <row r="145" spans="1:16" x14ac:dyDescent="0.3">
      <c r="A145" s="32"/>
      <c r="B145" s="131"/>
      <c r="C145" s="14"/>
      <c r="D145" s="26" t="s">
        <v>237</v>
      </c>
      <c r="E145" s="71">
        <f>ROUNDUP(E143*4%*2,0)</f>
        <v>2</v>
      </c>
      <c r="F145" s="1">
        <v>0</v>
      </c>
      <c r="G145" s="78">
        <f>E145+(E145*F145)</f>
        <v>2</v>
      </c>
      <c r="H145" s="28" t="s">
        <v>11</v>
      </c>
      <c r="I145" s="9">
        <v>0.56759999999999999</v>
      </c>
      <c r="J145" s="188">
        <f>I145*G145</f>
        <v>1.1352</v>
      </c>
      <c r="K145" s="9">
        <f>$K$5</f>
        <v>121.66</v>
      </c>
      <c r="L145" s="31">
        <v>0.17</v>
      </c>
      <c r="M145" s="29">
        <f>L145*G145</f>
        <v>0.34</v>
      </c>
      <c r="N145" s="188">
        <f>M145*K145</f>
        <v>41.364400000000003</v>
      </c>
      <c r="O145" s="52">
        <f>N145+J145</f>
        <v>42.499600000000001</v>
      </c>
      <c r="P145" s="86"/>
    </row>
    <row r="146" spans="1:16" x14ac:dyDescent="0.3">
      <c r="A146" s="32"/>
      <c r="B146" s="131"/>
      <c r="C146" s="14"/>
      <c r="D146" s="26" t="s">
        <v>238</v>
      </c>
      <c r="E146" s="71">
        <f>ROUNDUP(E143*3%*4,0)</f>
        <v>3</v>
      </c>
      <c r="F146" s="1">
        <v>0</v>
      </c>
      <c r="G146" s="78">
        <f>E146+(E146*F146)</f>
        <v>3</v>
      </c>
      <c r="H146" s="28" t="s">
        <v>11</v>
      </c>
      <c r="I146" s="9">
        <v>0.52400000000000002</v>
      </c>
      <c r="J146" s="188">
        <f>I146*G146</f>
        <v>1.5720000000000001</v>
      </c>
      <c r="K146" s="9">
        <f>$K$5</f>
        <v>121.66</v>
      </c>
      <c r="L146" s="31">
        <v>0.04</v>
      </c>
      <c r="M146" s="29">
        <f>L146*G146</f>
        <v>0.12</v>
      </c>
      <c r="N146" s="188">
        <f>M146*K146</f>
        <v>14.5992</v>
      </c>
      <c r="O146" s="52">
        <f>N146+J146</f>
        <v>16.171199999999999</v>
      </c>
      <c r="P146" s="86"/>
    </row>
    <row r="147" spans="1:16" x14ac:dyDescent="0.3">
      <c r="A147" s="32"/>
      <c r="B147" s="131"/>
      <c r="C147" s="14"/>
      <c r="D147" s="26" t="s">
        <v>239</v>
      </c>
      <c r="E147" s="71">
        <f>ROUNDUP(E143*4%*2,0)</f>
        <v>2</v>
      </c>
      <c r="F147" s="1">
        <v>0</v>
      </c>
      <c r="G147" s="78">
        <f>E147+(E147*F147)</f>
        <v>2</v>
      </c>
      <c r="H147" s="28" t="s">
        <v>11</v>
      </c>
      <c r="I147" s="9">
        <v>0.89670000000000005</v>
      </c>
      <c r="J147" s="188">
        <f>I147*G147</f>
        <v>1.7934000000000001</v>
      </c>
      <c r="K147" s="9">
        <f>$K$5</f>
        <v>121.66</v>
      </c>
      <c r="L147" s="31">
        <v>0.2</v>
      </c>
      <c r="M147" s="29">
        <f>L147*G147</f>
        <v>0.4</v>
      </c>
      <c r="N147" s="188">
        <f>M147*K147</f>
        <v>48.664000000000001</v>
      </c>
      <c r="O147" s="52">
        <f>N147+J147</f>
        <v>50.4574</v>
      </c>
      <c r="P147" s="86"/>
    </row>
    <row r="148" spans="1:16" s="30" customFormat="1" x14ac:dyDescent="0.3">
      <c r="A148" s="32">
        <v>4</v>
      </c>
      <c r="B148" s="131"/>
      <c r="C148" s="14"/>
      <c r="D148" s="26" t="s">
        <v>254</v>
      </c>
      <c r="E148" s="71">
        <v>283</v>
      </c>
      <c r="F148" s="27">
        <v>0.1</v>
      </c>
      <c r="G148" s="78">
        <f t="shared" si="162"/>
        <v>311.3</v>
      </c>
      <c r="H148" s="28" t="s">
        <v>9</v>
      </c>
      <c r="I148" s="9">
        <f>101.92/100</f>
        <v>1.0192000000000001</v>
      </c>
      <c r="J148" s="188">
        <f t="shared" si="163"/>
        <v>317.27696000000003</v>
      </c>
      <c r="K148" s="9">
        <f t="shared" si="153"/>
        <v>121.66</v>
      </c>
      <c r="L148" s="31">
        <v>0.05</v>
      </c>
      <c r="M148" s="29">
        <f t="shared" si="164"/>
        <v>15.565000000000001</v>
      </c>
      <c r="N148" s="188">
        <f t="shared" si="155"/>
        <v>1893.6379000000002</v>
      </c>
      <c r="O148" s="52">
        <f t="shared" si="165"/>
        <v>2210.9148600000003</v>
      </c>
      <c r="P148" s="86"/>
    </row>
    <row r="149" spans="1:16" x14ac:dyDescent="0.3">
      <c r="A149" s="32"/>
      <c r="B149" s="131"/>
      <c r="C149" s="14"/>
      <c r="D149" s="26" t="s">
        <v>255</v>
      </c>
      <c r="E149" s="71">
        <f>ROUNDUP(E148*8%,0)</f>
        <v>23</v>
      </c>
      <c r="F149" s="1">
        <v>0</v>
      </c>
      <c r="G149" s="78">
        <f>E149+(E149*F149)</f>
        <v>23</v>
      </c>
      <c r="H149" s="28" t="s">
        <v>11</v>
      </c>
      <c r="I149" s="9">
        <v>0.69</v>
      </c>
      <c r="J149" s="188">
        <f>I149*G149</f>
        <v>15.87</v>
      </c>
      <c r="K149" s="9">
        <f>$K$5</f>
        <v>121.66</v>
      </c>
      <c r="L149" s="31">
        <v>0.3</v>
      </c>
      <c r="M149" s="29">
        <f>L149*G149</f>
        <v>6.8999999999999995</v>
      </c>
      <c r="N149" s="188">
        <f>M149*K149</f>
        <v>839.45399999999995</v>
      </c>
      <c r="O149" s="52">
        <f>N149+J149</f>
        <v>855.32399999999996</v>
      </c>
      <c r="P149" s="86"/>
    </row>
    <row r="150" spans="1:16" x14ac:dyDescent="0.3">
      <c r="A150" s="32"/>
      <c r="B150" s="131"/>
      <c r="C150" s="14"/>
      <c r="D150" s="26" t="s">
        <v>256</v>
      </c>
      <c r="E150" s="71">
        <f>ROUNDUP(E148/10,0)</f>
        <v>29</v>
      </c>
      <c r="F150" s="1">
        <v>0</v>
      </c>
      <c r="G150" s="78">
        <f>E150+(E150*F150)</f>
        <v>29</v>
      </c>
      <c r="H150" s="28" t="s">
        <v>11</v>
      </c>
      <c r="I150" s="9">
        <v>0.69</v>
      </c>
      <c r="J150" s="188">
        <f>I150*G150</f>
        <v>20.009999999999998</v>
      </c>
      <c r="K150" s="9">
        <f>$K$5</f>
        <v>121.66</v>
      </c>
      <c r="L150" s="31">
        <v>0.14000000000000001</v>
      </c>
      <c r="M150" s="29">
        <f>L150*G150</f>
        <v>4.0600000000000005</v>
      </c>
      <c r="N150" s="188">
        <f>M150*K150</f>
        <v>493.93960000000004</v>
      </c>
      <c r="O150" s="52">
        <f>N150+J150</f>
        <v>513.94960000000003</v>
      </c>
      <c r="P150" s="86"/>
    </row>
    <row r="151" spans="1:16" x14ac:dyDescent="0.3">
      <c r="A151" s="32"/>
      <c r="B151" s="131"/>
      <c r="C151" s="14"/>
      <c r="D151" s="26" t="s">
        <v>257</v>
      </c>
      <c r="E151" s="71">
        <f>ROUNDUP(E148/9.2,0)+ROUNDUP(E148*4%,0)</f>
        <v>43</v>
      </c>
      <c r="F151" s="1">
        <v>0</v>
      </c>
      <c r="G151" s="78">
        <f>E151+(E151*F151)</f>
        <v>43</v>
      </c>
      <c r="H151" s="28" t="s">
        <v>11</v>
      </c>
      <c r="I151" s="9">
        <v>1.0548</v>
      </c>
      <c r="J151" s="188">
        <f>I151*G151</f>
        <v>45.356400000000001</v>
      </c>
      <c r="K151" s="9">
        <f>$K$5</f>
        <v>121.66</v>
      </c>
      <c r="L151" s="31">
        <v>0.04</v>
      </c>
      <c r="M151" s="29">
        <f>L151*G151</f>
        <v>1.72</v>
      </c>
      <c r="N151" s="188">
        <f>M151*K151</f>
        <v>209.2552</v>
      </c>
      <c r="O151" s="52">
        <f>N151+J151</f>
        <v>254.61160000000001</v>
      </c>
      <c r="P151" s="86"/>
    </row>
    <row r="152" spans="1:16" x14ac:dyDescent="0.3">
      <c r="A152" s="32"/>
      <c r="B152" s="131"/>
      <c r="C152" s="14"/>
      <c r="D152" s="26" t="s">
        <v>258</v>
      </c>
      <c r="E152" s="71">
        <f>ROUNDUP(E148/9.2,0)+ROUNDUP(E148*12%,0)</f>
        <v>65</v>
      </c>
      <c r="F152" s="1">
        <v>0</v>
      </c>
      <c r="G152" s="78">
        <f>E152+(E152*F152)</f>
        <v>65</v>
      </c>
      <c r="H152" s="28" t="s">
        <v>11</v>
      </c>
      <c r="I152" s="9">
        <v>2.93E-2</v>
      </c>
      <c r="J152" s="188">
        <f>I152*G152</f>
        <v>1.9045000000000001</v>
      </c>
      <c r="K152" s="9">
        <f>$K$5</f>
        <v>121.66</v>
      </c>
      <c r="L152" s="31">
        <v>0.05</v>
      </c>
      <c r="M152" s="29">
        <f>L152*G152</f>
        <v>3.25</v>
      </c>
      <c r="N152" s="188">
        <f>M152*K152</f>
        <v>395.39499999999998</v>
      </c>
      <c r="O152" s="52">
        <f>N152+J152</f>
        <v>397.29949999999997</v>
      </c>
      <c r="P152" s="86"/>
    </row>
    <row r="153" spans="1:16" x14ac:dyDescent="0.3">
      <c r="A153" s="32"/>
      <c r="B153" s="131"/>
      <c r="C153" s="14"/>
      <c r="D153" s="26" t="s">
        <v>259</v>
      </c>
      <c r="E153" s="71">
        <f>ROUNDUP(E148/9.2,0)+ROUNDUP(E148*12%,0)</f>
        <v>65</v>
      </c>
      <c r="F153" s="1">
        <v>0</v>
      </c>
      <c r="G153" s="78">
        <f>E153+(E153*F153)</f>
        <v>65</v>
      </c>
      <c r="H153" s="28" t="s">
        <v>11</v>
      </c>
      <c r="I153" s="9">
        <v>5.7700000000000001E-2</v>
      </c>
      <c r="J153" s="188">
        <f>I153*G153</f>
        <v>3.7505000000000002</v>
      </c>
      <c r="K153" s="9">
        <f>$K$5</f>
        <v>121.66</v>
      </c>
      <c r="L153" s="31">
        <v>0.02</v>
      </c>
      <c r="M153" s="29">
        <f>L153*G153</f>
        <v>1.3</v>
      </c>
      <c r="N153" s="188">
        <f>M153*K153</f>
        <v>158.15799999999999</v>
      </c>
      <c r="O153" s="52">
        <f>N153+J153</f>
        <v>161.90849999999998</v>
      </c>
      <c r="P153" s="86"/>
    </row>
    <row r="154" spans="1:16" s="30" customFormat="1" x14ac:dyDescent="0.3">
      <c r="A154" s="32">
        <v>5</v>
      </c>
      <c r="B154" s="131"/>
      <c r="C154" s="14"/>
      <c r="D154" s="26" t="s">
        <v>146</v>
      </c>
      <c r="E154" s="71">
        <v>39</v>
      </c>
      <c r="F154" s="27">
        <v>0.1</v>
      </c>
      <c r="G154" s="78">
        <f t="shared" si="162"/>
        <v>42.9</v>
      </c>
      <c r="H154" s="28" t="s">
        <v>9</v>
      </c>
      <c r="I154" s="9">
        <v>1.2382</v>
      </c>
      <c r="J154" s="188">
        <f t="shared" si="163"/>
        <v>53.118779999999994</v>
      </c>
      <c r="K154" s="9">
        <f t="shared" si="153"/>
        <v>121.66</v>
      </c>
      <c r="L154" s="31">
        <v>0.05</v>
      </c>
      <c r="M154" s="29">
        <f t="shared" si="164"/>
        <v>2.145</v>
      </c>
      <c r="N154" s="188">
        <f t="shared" si="155"/>
        <v>260.96069999999997</v>
      </c>
      <c r="O154" s="52">
        <f t="shared" si="165"/>
        <v>314.07947999999999</v>
      </c>
      <c r="P154" s="86"/>
    </row>
    <row r="155" spans="1:16" ht="15" thickBot="1" x14ac:dyDescent="0.35">
      <c r="A155" s="37"/>
      <c r="B155" s="41"/>
      <c r="C155" s="41"/>
      <c r="D155" s="13"/>
      <c r="E155" s="73"/>
      <c r="F155" s="18"/>
      <c r="G155" s="183"/>
      <c r="H155" s="19"/>
      <c r="I155" s="11"/>
      <c r="J155" s="187"/>
      <c r="K155" s="4"/>
      <c r="L155" s="3"/>
      <c r="M155" s="3"/>
      <c r="N155" s="4"/>
      <c r="O155" s="52"/>
      <c r="P155" s="70"/>
    </row>
    <row r="156" spans="1:16" ht="20.100000000000001" customHeight="1" thickBot="1" x14ac:dyDescent="0.35">
      <c r="A156" s="364" t="s">
        <v>102</v>
      </c>
      <c r="B156" s="365"/>
      <c r="C156" s="365"/>
      <c r="D156" s="366"/>
      <c r="E156" s="74"/>
      <c r="F156" s="1"/>
      <c r="G156" s="78"/>
      <c r="H156" s="2"/>
      <c r="I156" s="11"/>
      <c r="J156" s="187"/>
      <c r="K156" s="4"/>
      <c r="L156" s="3"/>
      <c r="M156" s="3"/>
      <c r="N156" s="4"/>
      <c r="O156" s="52"/>
      <c r="P156" s="70"/>
    </row>
    <row r="157" spans="1:16" ht="15" customHeight="1" x14ac:dyDescent="0.3">
      <c r="A157" s="32">
        <v>1</v>
      </c>
      <c r="B157" s="132"/>
      <c r="C157" s="33"/>
      <c r="D157" s="26" t="s">
        <v>109</v>
      </c>
      <c r="E157" s="72">
        <v>72</v>
      </c>
      <c r="F157" s="1">
        <v>0.1</v>
      </c>
      <c r="G157" s="78">
        <f>E157+(E157*F157)</f>
        <v>79.2</v>
      </c>
      <c r="H157" s="5" t="s">
        <v>9</v>
      </c>
      <c r="I157" s="9">
        <f>985.6/1000</f>
        <v>0.98560000000000003</v>
      </c>
      <c r="J157" s="188">
        <f t="shared" ref="J157:J161" si="166">I157*G157</f>
        <v>78.059520000000006</v>
      </c>
      <c r="K157" s="9">
        <f>$K$5</f>
        <v>121.66</v>
      </c>
      <c r="L157" s="29">
        <v>1.2999999999999999E-2</v>
      </c>
      <c r="M157" s="29">
        <f t="shared" ref="M157:M161" si="167">L157*G157</f>
        <v>1.0296000000000001</v>
      </c>
      <c r="N157" s="188">
        <f t="shared" ref="N157:N161" si="168">M157*K157</f>
        <v>125.26113600000001</v>
      </c>
      <c r="O157" s="52">
        <f t="shared" ref="O157:O161" si="169">J157+N157</f>
        <v>203.32065600000001</v>
      </c>
      <c r="P157" s="94"/>
    </row>
    <row r="158" spans="1:16" ht="15" customHeight="1" x14ac:dyDescent="0.3">
      <c r="A158" s="32">
        <v>2</v>
      </c>
      <c r="B158" s="131"/>
      <c r="C158" s="33"/>
      <c r="D158" s="26" t="s">
        <v>111</v>
      </c>
      <c r="E158" s="72">
        <v>24</v>
      </c>
      <c r="F158" s="1">
        <v>0.1</v>
      </c>
      <c r="G158" s="78">
        <f>E158+(E158*F158)</f>
        <v>26.4</v>
      </c>
      <c r="H158" s="5" t="s">
        <v>9</v>
      </c>
      <c r="I158" s="9">
        <f>418.6/1000</f>
        <v>0.41860000000000003</v>
      </c>
      <c r="J158" s="188">
        <f t="shared" si="166"/>
        <v>11.05104</v>
      </c>
      <c r="K158" s="9">
        <f t="shared" ref="K158:K161" si="170">$K$5</f>
        <v>121.66</v>
      </c>
      <c r="L158" s="29">
        <v>8.9999999999999993E-3</v>
      </c>
      <c r="M158" s="29">
        <f t="shared" si="167"/>
        <v>0.23759999999999998</v>
      </c>
      <c r="N158" s="188">
        <f t="shared" si="168"/>
        <v>28.906415999999997</v>
      </c>
      <c r="O158" s="52">
        <f t="shared" si="169"/>
        <v>39.957455999999993</v>
      </c>
      <c r="P158" s="94"/>
    </row>
    <row r="159" spans="1:16" ht="15" customHeight="1" x14ac:dyDescent="0.3">
      <c r="A159" s="32">
        <v>3</v>
      </c>
      <c r="B159" s="131"/>
      <c r="C159" s="33"/>
      <c r="D159" s="26" t="s">
        <v>147</v>
      </c>
      <c r="E159" s="71">
        <v>304</v>
      </c>
      <c r="F159" s="1">
        <v>0.1</v>
      </c>
      <c r="G159" s="78">
        <f t="shared" ref="G159" si="171">E159+(E159*F159)</f>
        <v>334.4</v>
      </c>
      <c r="H159" s="5" t="s">
        <v>9</v>
      </c>
      <c r="I159" s="9">
        <f>225.5/1000</f>
        <v>0.22550000000000001</v>
      </c>
      <c r="J159" s="188">
        <f t="shared" si="166"/>
        <v>75.407200000000003</v>
      </c>
      <c r="K159" s="9">
        <f t="shared" si="170"/>
        <v>121.66</v>
      </c>
      <c r="L159" s="29">
        <v>7.0000000000000001E-3</v>
      </c>
      <c r="M159" s="29">
        <f t="shared" si="167"/>
        <v>2.3407999999999998</v>
      </c>
      <c r="N159" s="188">
        <f t="shared" si="168"/>
        <v>284.78172799999999</v>
      </c>
      <c r="O159" s="52">
        <f t="shared" si="169"/>
        <v>360.18892799999998</v>
      </c>
      <c r="P159" s="94"/>
    </row>
    <row r="160" spans="1:16" ht="15" customHeight="1" x14ac:dyDescent="0.3">
      <c r="A160" s="32">
        <v>4</v>
      </c>
      <c r="B160" s="131"/>
      <c r="C160" s="33"/>
      <c r="D160" s="26" t="s">
        <v>144</v>
      </c>
      <c r="E160" s="72">
        <v>885</v>
      </c>
      <c r="F160" s="1">
        <v>0.1</v>
      </c>
      <c r="G160" s="78">
        <f>E160+(E160*F160)</f>
        <v>973.5</v>
      </c>
      <c r="H160" s="5" t="s">
        <v>9</v>
      </c>
      <c r="I160" s="9">
        <f>147.5/1000</f>
        <v>0.14749999999999999</v>
      </c>
      <c r="J160" s="188">
        <f t="shared" si="166"/>
        <v>143.59125</v>
      </c>
      <c r="K160" s="9">
        <f t="shared" si="170"/>
        <v>121.66</v>
      </c>
      <c r="L160" s="29">
        <v>6.0000000000000001E-3</v>
      </c>
      <c r="M160" s="29">
        <f t="shared" si="167"/>
        <v>5.8410000000000002</v>
      </c>
      <c r="N160" s="188">
        <f t="shared" si="168"/>
        <v>710.61605999999995</v>
      </c>
      <c r="O160" s="52">
        <f t="shared" si="169"/>
        <v>854.20731000000001</v>
      </c>
      <c r="P160" s="94"/>
    </row>
    <row r="161" spans="1:16" ht="15" customHeight="1" x14ac:dyDescent="0.3">
      <c r="A161" s="32">
        <v>5</v>
      </c>
      <c r="B161" s="131"/>
      <c r="C161" s="33"/>
      <c r="D161" s="26" t="s">
        <v>148</v>
      </c>
      <c r="E161" s="71">
        <v>44</v>
      </c>
      <c r="F161" s="1">
        <v>0.1</v>
      </c>
      <c r="G161" s="78">
        <f t="shared" ref="G161" si="172">E161+(E161*F161)</f>
        <v>48.4</v>
      </c>
      <c r="H161" s="5" t="s">
        <v>9</v>
      </c>
      <c r="I161" s="9">
        <v>0.12795000000000001</v>
      </c>
      <c r="J161" s="188">
        <f t="shared" si="166"/>
        <v>6.19278</v>
      </c>
      <c r="K161" s="9">
        <f t="shared" si="170"/>
        <v>121.66</v>
      </c>
      <c r="L161" s="29">
        <v>5.0000000000000001E-3</v>
      </c>
      <c r="M161" s="29">
        <f t="shared" si="167"/>
        <v>0.24199999999999999</v>
      </c>
      <c r="N161" s="188">
        <f t="shared" si="168"/>
        <v>29.441719999999997</v>
      </c>
      <c r="O161" s="52">
        <f t="shared" si="169"/>
        <v>35.634499999999996</v>
      </c>
      <c r="P161" s="94"/>
    </row>
    <row r="162" spans="1:16" ht="15" thickBot="1" x14ac:dyDescent="0.35">
      <c r="A162" s="32"/>
      <c r="B162" s="40"/>
      <c r="C162" s="40"/>
      <c r="D162" s="65"/>
      <c r="E162" s="71"/>
      <c r="F162" s="1"/>
      <c r="G162" s="182"/>
      <c r="H162" s="22"/>
      <c r="I162" s="56"/>
      <c r="J162" s="187"/>
      <c r="K162" s="57"/>
      <c r="L162" s="58"/>
      <c r="M162" s="58"/>
      <c r="N162" s="4"/>
      <c r="O162" s="51"/>
      <c r="P162" s="87"/>
    </row>
    <row r="163" spans="1:16" s="90" customFormat="1" ht="16.2" thickBot="1" x14ac:dyDescent="0.35">
      <c r="A163" s="59"/>
      <c r="B163" s="60"/>
      <c r="C163" s="60"/>
      <c r="D163" s="88"/>
      <c r="E163" s="127"/>
      <c r="F163" s="61"/>
      <c r="G163" s="370" t="s">
        <v>37</v>
      </c>
      <c r="H163" s="371"/>
      <c r="I163" s="185">
        <f>SUM(J120:J162)</f>
        <v>2044.4106500000003</v>
      </c>
      <c r="J163" s="372" t="s">
        <v>38</v>
      </c>
      <c r="K163" s="373"/>
      <c r="L163" s="194">
        <f>SUM(N120:N162)</f>
        <v>12274.841902399996</v>
      </c>
      <c r="M163" s="116"/>
      <c r="N163" s="191"/>
      <c r="O163" s="62"/>
      <c r="P163" s="89">
        <f>SUM(O120:O162)</f>
        <v>14319.252552399999</v>
      </c>
    </row>
    <row r="164" spans="1:16" ht="15" thickBot="1" x14ac:dyDescent="0.35">
      <c r="A164" s="32"/>
      <c r="B164" s="40"/>
      <c r="C164" s="40"/>
      <c r="D164" s="16"/>
      <c r="E164" s="125"/>
      <c r="F164" s="1"/>
      <c r="G164" s="78"/>
      <c r="H164" s="2"/>
      <c r="I164" s="11"/>
      <c r="J164" s="187"/>
      <c r="K164" s="4"/>
      <c r="L164" s="3"/>
      <c r="M164" s="3"/>
      <c r="N164" s="4"/>
      <c r="O164" s="52"/>
      <c r="P164" s="70"/>
    </row>
    <row r="165" spans="1:16" ht="30" customHeight="1" thickBot="1" x14ac:dyDescent="0.35">
      <c r="A165" s="322" t="s">
        <v>22</v>
      </c>
      <c r="B165" s="323"/>
      <c r="C165" s="323"/>
      <c r="D165" s="323"/>
      <c r="E165" s="323"/>
      <c r="F165" s="323"/>
      <c r="G165" s="323"/>
      <c r="H165" s="324"/>
      <c r="I165" s="20"/>
      <c r="J165" s="4"/>
      <c r="K165" s="4"/>
      <c r="L165" s="3"/>
      <c r="M165" s="3"/>
      <c r="N165" s="4"/>
      <c r="O165" s="52"/>
      <c r="P165" s="70"/>
    </row>
    <row r="166" spans="1:16" ht="20.100000000000001" customHeight="1" thickBot="1" x14ac:dyDescent="0.35">
      <c r="A166" s="364" t="s">
        <v>287</v>
      </c>
      <c r="B166" s="365"/>
      <c r="C166" s="365"/>
      <c r="D166" s="366" t="s">
        <v>17</v>
      </c>
      <c r="E166" s="74"/>
      <c r="F166" s="1"/>
      <c r="G166" s="78"/>
      <c r="H166" s="2"/>
      <c r="I166" s="11"/>
      <c r="J166" s="187"/>
      <c r="K166" s="4"/>
      <c r="L166" s="3"/>
      <c r="M166" s="3"/>
      <c r="N166" s="4"/>
      <c r="O166" s="52"/>
      <c r="P166" s="70"/>
    </row>
    <row r="167" spans="1:16" s="237" customFormat="1" x14ac:dyDescent="0.3">
      <c r="A167" s="228">
        <v>1</v>
      </c>
      <c r="B167" s="248"/>
      <c r="C167" s="249"/>
      <c r="D167" s="251" t="s">
        <v>149</v>
      </c>
      <c r="E167" s="72">
        <v>2</v>
      </c>
      <c r="F167" s="1">
        <v>0</v>
      </c>
      <c r="G167" s="78">
        <f t="shared" ref="G167:G218" si="173">E167+(E167*F167)</f>
        <v>2</v>
      </c>
      <c r="H167" s="5" t="s">
        <v>11</v>
      </c>
      <c r="I167" s="252">
        <v>11.99</v>
      </c>
      <c r="J167" s="234">
        <f>I167*G167</f>
        <v>23.98</v>
      </c>
      <c r="K167" s="233">
        <f t="shared" ref="K167:K218" si="174">$K$5</f>
        <v>121.66</v>
      </c>
      <c r="L167" s="3">
        <v>0.16</v>
      </c>
      <c r="M167" s="235">
        <f>L167*G167</f>
        <v>0.32</v>
      </c>
      <c r="N167" s="234">
        <f t="shared" ref="N167:N218" si="175">M167*K167</f>
        <v>38.931199999999997</v>
      </c>
      <c r="O167" s="52">
        <f t="shared" ref="O167:O218" si="176">J167+N167</f>
        <v>62.911199999999994</v>
      </c>
      <c r="P167" s="236"/>
    </row>
    <row r="168" spans="1:16" x14ac:dyDescent="0.3">
      <c r="A168" s="32"/>
      <c r="B168" s="131"/>
      <c r="C168" s="275"/>
      <c r="D168" s="276" t="s">
        <v>268</v>
      </c>
      <c r="E168" s="125">
        <f>E167</f>
        <v>2</v>
      </c>
      <c r="F168" s="277">
        <v>0</v>
      </c>
      <c r="G168" s="278">
        <f>E168+(E168*F168)</f>
        <v>2</v>
      </c>
      <c r="H168" s="174" t="s">
        <v>11</v>
      </c>
      <c r="I168" s="279">
        <v>3.77</v>
      </c>
      <c r="J168" s="280">
        <f t="shared" ref="J168:J172" si="177">I168*G168</f>
        <v>7.54</v>
      </c>
      <c r="K168" s="233">
        <f t="shared" si="174"/>
        <v>121.66</v>
      </c>
      <c r="L168" s="282">
        <v>0.4</v>
      </c>
      <c r="M168" s="283">
        <f t="shared" ref="M168:M172" si="178">L168*G168</f>
        <v>0.8</v>
      </c>
      <c r="N168" s="280">
        <f>M168*K168</f>
        <v>97.328000000000003</v>
      </c>
      <c r="O168" s="284">
        <f t="shared" ref="O168:O172" si="179">J168+N168</f>
        <v>104.86800000000001</v>
      </c>
      <c r="P168" s="86"/>
    </row>
    <row r="169" spans="1:16" x14ac:dyDescent="0.3">
      <c r="A169" s="32"/>
      <c r="B169" s="131"/>
      <c r="C169" s="275"/>
      <c r="D169" s="276" t="s">
        <v>269</v>
      </c>
      <c r="E169" s="125">
        <f>E167</f>
        <v>2</v>
      </c>
      <c r="F169" s="277">
        <v>0</v>
      </c>
      <c r="G169" s="278">
        <f>E169+(E169*F169)</f>
        <v>2</v>
      </c>
      <c r="H169" s="174" t="s">
        <v>11</v>
      </c>
      <c r="I169" s="279">
        <v>2.31</v>
      </c>
      <c r="J169" s="280">
        <f t="shared" si="177"/>
        <v>4.62</v>
      </c>
      <c r="K169" s="233">
        <f t="shared" si="174"/>
        <v>121.66</v>
      </c>
      <c r="L169" s="282">
        <v>2.0000000000000004E-2</v>
      </c>
      <c r="M169" s="283">
        <f t="shared" si="178"/>
        <v>4.0000000000000008E-2</v>
      </c>
      <c r="N169" s="280">
        <f>M169*K169</f>
        <v>4.8664000000000005</v>
      </c>
      <c r="O169" s="284">
        <f t="shared" si="179"/>
        <v>9.4863999999999997</v>
      </c>
      <c r="P169" s="86"/>
    </row>
    <row r="170" spans="1:16" x14ac:dyDescent="0.3">
      <c r="A170" s="32"/>
      <c r="B170" s="131"/>
      <c r="C170" s="275"/>
      <c r="D170" s="276" t="s">
        <v>270</v>
      </c>
      <c r="E170" s="125">
        <f>E167</f>
        <v>2</v>
      </c>
      <c r="F170" s="277">
        <v>0</v>
      </c>
      <c r="G170" s="278">
        <f>E170+(E170*F170)</f>
        <v>2</v>
      </c>
      <c r="H170" s="174" t="s">
        <v>11</v>
      </c>
      <c r="I170" s="279">
        <v>0.87</v>
      </c>
      <c r="J170" s="280">
        <f t="shared" si="177"/>
        <v>1.74</v>
      </c>
      <c r="K170" s="233">
        <f t="shared" si="174"/>
        <v>121.66</v>
      </c>
      <c r="L170" s="282">
        <v>2.4E-2</v>
      </c>
      <c r="M170" s="283">
        <f t="shared" si="178"/>
        <v>4.8000000000000001E-2</v>
      </c>
      <c r="N170" s="280">
        <f>M170*K170</f>
        <v>5.8396799999999995</v>
      </c>
      <c r="O170" s="284">
        <f t="shared" si="179"/>
        <v>7.5796799999999998</v>
      </c>
      <c r="P170" s="86"/>
    </row>
    <row r="171" spans="1:16" x14ac:dyDescent="0.3">
      <c r="A171" s="32"/>
      <c r="B171" s="131"/>
      <c r="C171" s="275"/>
      <c r="D171" s="276" t="s">
        <v>271</v>
      </c>
      <c r="E171" s="125">
        <f>E167*2</f>
        <v>4</v>
      </c>
      <c r="F171" s="277">
        <v>0</v>
      </c>
      <c r="G171" s="278">
        <f>E171+(E171*F171)</f>
        <v>4</v>
      </c>
      <c r="H171" s="174" t="s">
        <v>11</v>
      </c>
      <c r="I171" s="279">
        <v>5.7700000000000001E-2</v>
      </c>
      <c r="J171" s="280">
        <f t="shared" si="177"/>
        <v>0.23080000000000001</v>
      </c>
      <c r="K171" s="233">
        <f t="shared" si="174"/>
        <v>121.66</v>
      </c>
      <c r="L171" s="282">
        <v>2.24E-2</v>
      </c>
      <c r="M171" s="283">
        <f t="shared" si="178"/>
        <v>8.9599999999999999E-2</v>
      </c>
      <c r="N171" s="280">
        <f>M171*K171</f>
        <v>10.900736</v>
      </c>
      <c r="O171" s="284">
        <f t="shared" si="179"/>
        <v>11.131536000000001</v>
      </c>
      <c r="P171" s="86"/>
    </row>
    <row r="172" spans="1:16" x14ac:dyDescent="0.3">
      <c r="A172" s="32"/>
      <c r="B172" s="131"/>
      <c r="C172" s="275"/>
      <c r="D172" s="7" t="s">
        <v>288</v>
      </c>
      <c r="E172" s="125">
        <f>E167</f>
        <v>2</v>
      </c>
      <c r="F172" s="277">
        <v>0</v>
      </c>
      <c r="G172" s="278">
        <f>E172+(E172*F172)</f>
        <v>2</v>
      </c>
      <c r="H172" s="174" t="s">
        <v>11</v>
      </c>
      <c r="I172" s="279">
        <v>9.84</v>
      </c>
      <c r="J172" s="280">
        <f t="shared" si="177"/>
        <v>19.68</v>
      </c>
      <c r="K172" s="233">
        <f t="shared" si="174"/>
        <v>121.66</v>
      </c>
      <c r="L172" s="282">
        <v>0.04</v>
      </c>
      <c r="M172" s="283">
        <f t="shared" si="178"/>
        <v>0.08</v>
      </c>
      <c r="N172" s="280">
        <f>M172*K172</f>
        <v>9.7327999999999992</v>
      </c>
      <c r="O172" s="284">
        <f t="shared" si="179"/>
        <v>29.412799999999997</v>
      </c>
      <c r="P172" s="86"/>
    </row>
    <row r="173" spans="1:16" s="237" customFormat="1" x14ac:dyDescent="0.3">
      <c r="A173" s="228">
        <v>2</v>
      </c>
      <c r="B173" s="248"/>
      <c r="C173" s="253"/>
      <c r="D173" s="243" t="s">
        <v>150</v>
      </c>
      <c r="E173" s="72">
        <v>1</v>
      </c>
      <c r="F173" s="255">
        <v>0</v>
      </c>
      <c r="G173" s="78">
        <f t="shared" si="173"/>
        <v>1</v>
      </c>
      <c r="H173" s="5" t="s">
        <v>11</v>
      </c>
      <c r="I173" s="252">
        <v>32</v>
      </c>
      <c r="J173" s="234">
        <f t="shared" ref="J173:J178" si="180">I173*G173</f>
        <v>32</v>
      </c>
      <c r="K173" s="233">
        <f t="shared" si="174"/>
        <v>121.66</v>
      </c>
      <c r="L173" s="3">
        <v>0.16</v>
      </c>
      <c r="M173" s="235">
        <f t="shared" ref="M173:M178" si="181">L173*G173</f>
        <v>0.16</v>
      </c>
      <c r="N173" s="234">
        <f t="shared" si="175"/>
        <v>19.465599999999998</v>
      </c>
      <c r="O173" s="52">
        <f t="shared" si="176"/>
        <v>51.465599999999995</v>
      </c>
      <c r="P173" s="236"/>
    </row>
    <row r="174" spans="1:16" x14ac:dyDescent="0.3">
      <c r="A174" s="32"/>
      <c r="B174" s="131"/>
      <c r="C174" s="275"/>
      <c r="D174" s="276" t="s">
        <v>268</v>
      </c>
      <c r="E174" s="125">
        <f>E173</f>
        <v>1</v>
      </c>
      <c r="F174" s="277">
        <v>0</v>
      </c>
      <c r="G174" s="278">
        <f>E174+(E174*F174)</f>
        <v>1</v>
      </c>
      <c r="H174" s="174" t="s">
        <v>11</v>
      </c>
      <c r="I174" s="279">
        <v>3.77</v>
      </c>
      <c r="J174" s="280">
        <f t="shared" si="180"/>
        <v>3.77</v>
      </c>
      <c r="K174" s="233">
        <f t="shared" si="174"/>
        <v>121.66</v>
      </c>
      <c r="L174" s="282">
        <v>0.4</v>
      </c>
      <c r="M174" s="283">
        <f t="shared" si="181"/>
        <v>0.4</v>
      </c>
      <c r="N174" s="280">
        <f>M174*K174</f>
        <v>48.664000000000001</v>
      </c>
      <c r="O174" s="284">
        <f t="shared" si="176"/>
        <v>52.434000000000005</v>
      </c>
      <c r="P174" s="86"/>
    </row>
    <row r="175" spans="1:16" x14ac:dyDescent="0.3">
      <c r="A175" s="32"/>
      <c r="B175" s="131"/>
      <c r="C175" s="275"/>
      <c r="D175" s="276" t="s">
        <v>269</v>
      </c>
      <c r="E175" s="125">
        <f>E173</f>
        <v>1</v>
      </c>
      <c r="F175" s="277">
        <v>0</v>
      </c>
      <c r="G175" s="278">
        <f>E175+(E175*F175)</f>
        <v>1</v>
      </c>
      <c r="H175" s="174" t="s">
        <v>11</v>
      </c>
      <c r="I175" s="279">
        <v>2.31</v>
      </c>
      <c r="J175" s="280">
        <f t="shared" si="180"/>
        <v>2.31</v>
      </c>
      <c r="K175" s="233">
        <f t="shared" si="174"/>
        <v>121.66</v>
      </c>
      <c r="L175" s="282">
        <v>2.0000000000000004E-2</v>
      </c>
      <c r="M175" s="283">
        <f t="shared" si="181"/>
        <v>2.0000000000000004E-2</v>
      </c>
      <c r="N175" s="280">
        <f>M175*K175</f>
        <v>2.4332000000000003</v>
      </c>
      <c r="O175" s="284">
        <f t="shared" si="176"/>
        <v>4.7431999999999999</v>
      </c>
      <c r="P175" s="86"/>
    </row>
    <row r="176" spans="1:16" x14ac:dyDescent="0.3">
      <c r="A176" s="32"/>
      <c r="B176" s="131"/>
      <c r="C176" s="275"/>
      <c r="D176" s="276" t="s">
        <v>270</v>
      </c>
      <c r="E176" s="125">
        <f>E173</f>
        <v>1</v>
      </c>
      <c r="F176" s="277">
        <v>0</v>
      </c>
      <c r="G176" s="278">
        <f>E176+(E176*F176)</f>
        <v>1</v>
      </c>
      <c r="H176" s="174" t="s">
        <v>11</v>
      </c>
      <c r="I176" s="279">
        <v>0.87</v>
      </c>
      <c r="J176" s="280">
        <f t="shared" si="180"/>
        <v>0.87</v>
      </c>
      <c r="K176" s="233">
        <f t="shared" si="174"/>
        <v>121.66</v>
      </c>
      <c r="L176" s="282">
        <v>2.4E-2</v>
      </c>
      <c r="M176" s="283">
        <f t="shared" si="181"/>
        <v>2.4E-2</v>
      </c>
      <c r="N176" s="280">
        <f>M176*K176</f>
        <v>2.9198399999999998</v>
      </c>
      <c r="O176" s="284">
        <f t="shared" si="176"/>
        <v>3.7898399999999999</v>
      </c>
      <c r="P176" s="86"/>
    </row>
    <row r="177" spans="1:16" x14ac:dyDescent="0.3">
      <c r="A177" s="32"/>
      <c r="B177" s="131"/>
      <c r="C177" s="275"/>
      <c r="D177" s="276" t="s">
        <v>271</v>
      </c>
      <c r="E177" s="125">
        <f>E173*2</f>
        <v>2</v>
      </c>
      <c r="F177" s="277">
        <v>0</v>
      </c>
      <c r="G177" s="278">
        <f>E177+(E177*F177)</f>
        <v>2</v>
      </c>
      <c r="H177" s="174" t="s">
        <v>11</v>
      </c>
      <c r="I177" s="279">
        <v>5.7700000000000001E-2</v>
      </c>
      <c r="J177" s="280">
        <f t="shared" si="180"/>
        <v>0.1154</v>
      </c>
      <c r="K177" s="233">
        <f t="shared" si="174"/>
        <v>121.66</v>
      </c>
      <c r="L177" s="282">
        <v>2.24E-2</v>
      </c>
      <c r="M177" s="283">
        <f t="shared" si="181"/>
        <v>4.48E-2</v>
      </c>
      <c r="N177" s="280">
        <f>M177*K177</f>
        <v>5.4503680000000001</v>
      </c>
      <c r="O177" s="284">
        <f t="shared" si="176"/>
        <v>5.5657680000000003</v>
      </c>
      <c r="P177" s="86"/>
    </row>
    <row r="178" spans="1:16" x14ac:dyDescent="0.3">
      <c r="A178" s="32"/>
      <c r="B178" s="131"/>
      <c r="C178" s="275"/>
      <c r="D178" s="7" t="s">
        <v>288</v>
      </c>
      <c r="E178" s="125">
        <f>E173</f>
        <v>1</v>
      </c>
      <c r="F178" s="277">
        <v>0</v>
      </c>
      <c r="G178" s="278">
        <f>E178+(E178*F178)</f>
        <v>1</v>
      </c>
      <c r="H178" s="174" t="s">
        <v>11</v>
      </c>
      <c r="I178" s="279">
        <v>9.84</v>
      </c>
      <c r="J178" s="280">
        <f t="shared" si="180"/>
        <v>9.84</v>
      </c>
      <c r="K178" s="233">
        <f t="shared" si="174"/>
        <v>121.66</v>
      </c>
      <c r="L178" s="282">
        <v>0.04</v>
      </c>
      <c r="M178" s="283">
        <f t="shared" si="181"/>
        <v>0.04</v>
      </c>
      <c r="N178" s="280">
        <f>M178*K178</f>
        <v>4.8663999999999996</v>
      </c>
      <c r="O178" s="284">
        <f t="shared" si="176"/>
        <v>14.706399999999999</v>
      </c>
      <c r="P178" s="86"/>
    </row>
    <row r="179" spans="1:16" s="237" customFormat="1" ht="15" customHeight="1" x14ac:dyDescent="0.3">
      <c r="A179" s="228">
        <v>3</v>
      </c>
      <c r="B179" s="248"/>
      <c r="C179" s="249"/>
      <c r="D179" s="251" t="s">
        <v>151</v>
      </c>
      <c r="E179" s="72">
        <v>1</v>
      </c>
      <c r="F179" s="1">
        <v>0</v>
      </c>
      <c r="G179" s="78">
        <f t="shared" si="173"/>
        <v>1</v>
      </c>
      <c r="H179" s="5" t="s">
        <v>11</v>
      </c>
      <c r="I179" s="252">
        <v>32</v>
      </c>
      <c r="J179" s="234">
        <f>I179*G179</f>
        <v>32</v>
      </c>
      <c r="K179" s="233">
        <f t="shared" si="174"/>
        <v>121.66</v>
      </c>
      <c r="L179" s="3">
        <v>0.16</v>
      </c>
      <c r="M179" s="235">
        <f>L179*G179</f>
        <v>0.16</v>
      </c>
      <c r="N179" s="234">
        <f t="shared" si="175"/>
        <v>19.465599999999998</v>
      </c>
      <c r="O179" s="52">
        <f t="shared" si="176"/>
        <v>51.465599999999995</v>
      </c>
      <c r="P179" s="236"/>
    </row>
    <row r="180" spans="1:16" x14ac:dyDescent="0.3">
      <c r="A180" s="32"/>
      <c r="B180" s="131"/>
      <c r="C180" s="275"/>
      <c r="D180" s="276" t="s">
        <v>268</v>
      </c>
      <c r="E180" s="125">
        <f>E179</f>
        <v>1</v>
      </c>
      <c r="F180" s="277">
        <v>0</v>
      </c>
      <c r="G180" s="278">
        <f>E180+(E180*F180)</f>
        <v>1</v>
      </c>
      <c r="H180" s="174" t="s">
        <v>11</v>
      </c>
      <c r="I180" s="279">
        <v>3.77</v>
      </c>
      <c r="J180" s="280">
        <f t="shared" ref="J180:J184" si="182">I180*G180</f>
        <v>3.77</v>
      </c>
      <c r="K180" s="233">
        <f t="shared" si="174"/>
        <v>121.66</v>
      </c>
      <c r="L180" s="282">
        <v>0.4</v>
      </c>
      <c r="M180" s="283">
        <f t="shared" ref="M180:M184" si="183">L180*G180</f>
        <v>0.4</v>
      </c>
      <c r="N180" s="280">
        <f>M180*K180</f>
        <v>48.664000000000001</v>
      </c>
      <c r="O180" s="284">
        <f t="shared" ref="O180:O184" si="184">J180+N180</f>
        <v>52.434000000000005</v>
      </c>
      <c r="P180" s="86"/>
    </row>
    <row r="181" spans="1:16" x14ac:dyDescent="0.3">
      <c r="A181" s="32"/>
      <c r="B181" s="131"/>
      <c r="C181" s="275"/>
      <c r="D181" s="276" t="s">
        <v>269</v>
      </c>
      <c r="E181" s="125">
        <f>E179</f>
        <v>1</v>
      </c>
      <c r="F181" s="277">
        <v>0</v>
      </c>
      <c r="G181" s="278">
        <f>E181+(E181*F181)</f>
        <v>1</v>
      </c>
      <c r="H181" s="174" t="s">
        <v>11</v>
      </c>
      <c r="I181" s="279">
        <v>2.31</v>
      </c>
      <c r="J181" s="280">
        <f t="shared" si="182"/>
        <v>2.31</v>
      </c>
      <c r="K181" s="233">
        <f t="shared" si="174"/>
        <v>121.66</v>
      </c>
      <c r="L181" s="282">
        <v>2.0000000000000004E-2</v>
      </c>
      <c r="M181" s="283">
        <f t="shared" si="183"/>
        <v>2.0000000000000004E-2</v>
      </c>
      <c r="N181" s="280">
        <f>M181*K181</f>
        <v>2.4332000000000003</v>
      </c>
      <c r="O181" s="284">
        <f t="shared" si="184"/>
        <v>4.7431999999999999</v>
      </c>
      <c r="P181" s="86"/>
    </row>
    <row r="182" spans="1:16" x14ac:dyDescent="0.3">
      <c r="A182" s="32"/>
      <c r="B182" s="131"/>
      <c r="C182" s="275"/>
      <c r="D182" s="276" t="s">
        <v>270</v>
      </c>
      <c r="E182" s="125">
        <f>E179</f>
        <v>1</v>
      </c>
      <c r="F182" s="277">
        <v>0</v>
      </c>
      <c r="G182" s="278">
        <f>E182+(E182*F182)</f>
        <v>1</v>
      </c>
      <c r="H182" s="174" t="s">
        <v>11</v>
      </c>
      <c r="I182" s="279">
        <v>0.87</v>
      </c>
      <c r="J182" s="280">
        <f t="shared" si="182"/>
        <v>0.87</v>
      </c>
      <c r="K182" s="233">
        <f t="shared" si="174"/>
        <v>121.66</v>
      </c>
      <c r="L182" s="282">
        <v>2.4E-2</v>
      </c>
      <c r="M182" s="283">
        <f t="shared" si="183"/>
        <v>2.4E-2</v>
      </c>
      <c r="N182" s="280">
        <f>M182*K182</f>
        <v>2.9198399999999998</v>
      </c>
      <c r="O182" s="284">
        <f t="shared" si="184"/>
        <v>3.7898399999999999</v>
      </c>
      <c r="P182" s="86"/>
    </row>
    <row r="183" spans="1:16" x14ac:dyDescent="0.3">
      <c r="A183" s="32"/>
      <c r="B183" s="131"/>
      <c r="C183" s="275"/>
      <c r="D183" s="276" t="s">
        <v>271</v>
      </c>
      <c r="E183" s="125">
        <f>E179*2</f>
        <v>2</v>
      </c>
      <c r="F183" s="277">
        <v>0</v>
      </c>
      <c r="G183" s="278">
        <f>E183+(E183*F183)</f>
        <v>2</v>
      </c>
      <c r="H183" s="174" t="s">
        <v>11</v>
      </c>
      <c r="I183" s="279">
        <v>5.7700000000000001E-2</v>
      </c>
      <c r="J183" s="280">
        <f t="shared" si="182"/>
        <v>0.1154</v>
      </c>
      <c r="K183" s="233">
        <f t="shared" si="174"/>
        <v>121.66</v>
      </c>
      <c r="L183" s="282">
        <v>2.24E-2</v>
      </c>
      <c r="M183" s="283">
        <f t="shared" si="183"/>
        <v>4.48E-2</v>
      </c>
      <c r="N183" s="280">
        <f>M183*K183</f>
        <v>5.4503680000000001</v>
      </c>
      <c r="O183" s="284">
        <f t="shared" si="184"/>
        <v>5.5657680000000003</v>
      </c>
      <c r="P183" s="86"/>
    </row>
    <row r="184" spans="1:16" x14ac:dyDescent="0.3">
      <c r="A184" s="32"/>
      <c r="B184" s="131"/>
      <c r="C184" s="275"/>
      <c r="D184" s="7" t="s">
        <v>288</v>
      </c>
      <c r="E184" s="125">
        <f>E179</f>
        <v>1</v>
      </c>
      <c r="F184" s="277">
        <v>0</v>
      </c>
      <c r="G184" s="278">
        <f>E184+(E184*F184)</f>
        <v>1</v>
      </c>
      <c r="H184" s="174" t="s">
        <v>11</v>
      </c>
      <c r="I184" s="279">
        <v>9.84</v>
      </c>
      <c r="J184" s="280">
        <f t="shared" si="182"/>
        <v>9.84</v>
      </c>
      <c r="K184" s="233">
        <f t="shared" si="174"/>
        <v>121.66</v>
      </c>
      <c r="L184" s="282">
        <v>0.04</v>
      </c>
      <c r="M184" s="283">
        <f t="shared" si="183"/>
        <v>0.04</v>
      </c>
      <c r="N184" s="280">
        <f>M184*K184</f>
        <v>4.8663999999999996</v>
      </c>
      <c r="O184" s="284">
        <f t="shared" si="184"/>
        <v>14.706399999999999</v>
      </c>
      <c r="P184" s="86"/>
    </row>
    <row r="185" spans="1:16" s="237" customFormat="1" x14ac:dyDescent="0.3">
      <c r="A185" s="228">
        <v>4</v>
      </c>
      <c r="B185" s="248"/>
      <c r="C185" s="253"/>
      <c r="D185" s="276" t="s">
        <v>152</v>
      </c>
      <c r="E185" s="72">
        <v>1</v>
      </c>
      <c r="F185" s="255">
        <v>0</v>
      </c>
      <c r="G185" s="78">
        <f t="shared" si="173"/>
        <v>1</v>
      </c>
      <c r="H185" s="5" t="s">
        <v>11</v>
      </c>
      <c r="I185" s="312">
        <v>185</v>
      </c>
      <c r="J185" s="234">
        <f t="shared" ref="J185:J192" si="185">I185*G185</f>
        <v>185</v>
      </c>
      <c r="K185" s="233">
        <f t="shared" si="174"/>
        <v>121.66</v>
      </c>
      <c r="L185" s="31">
        <v>0.6</v>
      </c>
      <c r="M185" s="235">
        <f t="shared" ref="M185:M192" si="186">L185*G185</f>
        <v>0.6</v>
      </c>
      <c r="N185" s="234">
        <f t="shared" si="175"/>
        <v>72.995999999999995</v>
      </c>
      <c r="O185" s="52">
        <f t="shared" si="176"/>
        <v>257.99599999999998</v>
      </c>
      <c r="P185" s="236"/>
    </row>
    <row r="186" spans="1:16" s="237" customFormat="1" x14ac:dyDescent="0.3">
      <c r="A186" s="228">
        <v>5</v>
      </c>
      <c r="B186" s="248"/>
      <c r="C186" s="253"/>
      <c r="D186" s="243" t="s">
        <v>264</v>
      </c>
      <c r="E186" s="72">
        <v>29</v>
      </c>
      <c r="F186" s="255">
        <v>0</v>
      </c>
      <c r="G186" s="78">
        <f t="shared" si="173"/>
        <v>29</v>
      </c>
      <c r="H186" s="5" t="s">
        <v>11</v>
      </c>
      <c r="I186" s="252">
        <v>19.989999999999998</v>
      </c>
      <c r="J186" s="234">
        <f t="shared" si="185"/>
        <v>579.70999999999992</v>
      </c>
      <c r="K186" s="233">
        <f t="shared" si="174"/>
        <v>121.66</v>
      </c>
      <c r="L186" s="3">
        <v>0.22</v>
      </c>
      <c r="M186" s="235">
        <f t="shared" si="186"/>
        <v>6.38</v>
      </c>
      <c r="N186" s="234">
        <f t="shared" si="175"/>
        <v>776.19079999999997</v>
      </c>
      <c r="O186" s="52">
        <f t="shared" si="176"/>
        <v>1355.9007999999999</v>
      </c>
      <c r="P186" s="236"/>
    </row>
    <row r="187" spans="1:16" x14ac:dyDescent="0.3">
      <c r="A187" s="32"/>
      <c r="B187" s="131"/>
      <c r="C187" s="275"/>
      <c r="D187" s="276" t="s">
        <v>268</v>
      </c>
      <c r="E187" s="125">
        <f>E186</f>
        <v>29</v>
      </c>
      <c r="F187" s="277">
        <v>0</v>
      </c>
      <c r="G187" s="278">
        <f>E187+(E187*F187)</f>
        <v>29</v>
      </c>
      <c r="H187" s="174" t="s">
        <v>11</v>
      </c>
      <c r="I187" s="279">
        <v>3.77</v>
      </c>
      <c r="J187" s="280">
        <f t="shared" si="185"/>
        <v>109.33</v>
      </c>
      <c r="K187" s="233">
        <f t="shared" si="174"/>
        <v>121.66</v>
      </c>
      <c r="L187" s="282">
        <v>0.4</v>
      </c>
      <c r="M187" s="283">
        <f t="shared" si="186"/>
        <v>11.600000000000001</v>
      </c>
      <c r="N187" s="280">
        <f>M187*K187</f>
        <v>1411.2560000000001</v>
      </c>
      <c r="O187" s="284">
        <f t="shared" si="176"/>
        <v>1520.586</v>
      </c>
      <c r="P187" s="86"/>
    </row>
    <row r="188" spans="1:16" x14ac:dyDescent="0.3">
      <c r="A188" s="32"/>
      <c r="B188" s="131"/>
      <c r="C188" s="275"/>
      <c r="D188" s="276" t="s">
        <v>269</v>
      </c>
      <c r="E188" s="125">
        <f>E186</f>
        <v>29</v>
      </c>
      <c r="F188" s="277">
        <v>0</v>
      </c>
      <c r="G188" s="278">
        <f>E188+(E188*F188)</f>
        <v>29</v>
      </c>
      <c r="H188" s="174" t="s">
        <v>11</v>
      </c>
      <c r="I188" s="279">
        <v>2.31</v>
      </c>
      <c r="J188" s="280">
        <f t="shared" si="185"/>
        <v>66.989999999999995</v>
      </c>
      <c r="K188" s="233">
        <f t="shared" si="174"/>
        <v>121.66</v>
      </c>
      <c r="L188" s="282">
        <v>2.0000000000000004E-2</v>
      </c>
      <c r="M188" s="283">
        <f t="shared" si="186"/>
        <v>0.58000000000000007</v>
      </c>
      <c r="N188" s="280">
        <f>M188*K188</f>
        <v>70.56280000000001</v>
      </c>
      <c r="O188" s="284">
        <f t="shared" si="176"/>
        <v>137.55279999999999</v>
      </c>
      <c r="P188" s="86"/>
    </row>
    <row r="189" spans="1:16" x14ac:dyDescent="0.3">
      <c r="A189" s="32"/>
      <c r="B189" s="131"/>
      <c r="C189" s="275"/>
      <c r="D189" s="276" t="s">
        <v>270</v>
      </c>
      <c r="E189" s="125">
        <f>E186</f>
        <v>29</v>
      </c>
      <c r="F189" s="277">
        <v>0</v>
      </c>
      <c r="G189" s="278">
        <f>E189+(E189*F189)</f>
        <v>29</v>
      </c>
      <c r="H189" s="174" t="s">
        <v>11</v>
      </c>
      <c r="I189" s="279">
        <v>0.87</v>
      </c>
      <c r="J189" s="280">
        <f t="shared" si="185"/>
        <v>25.23</v>
      </c>
      <c r="K189" s="233">
        <f t="shared" si="174"/>
        <v>121.66</v>
      </c>
      <c r="L189" s="282">
        <v>2.4E-2</v>
      </c>
      <c r="M189" s="283">
        <f t="shared" si="186"/>
        <v>0.69600000000000006</v>
      </c>
      <c r="N189" s="280">
        <f>M189*K189</f>
        <v>84.675360000000012</v>
      </c>
      <c r="O189" s="284">
        <f t="shared" si="176"/>
        <v>109.90536000000002</v>
      </c>
      <c r="P189" s="86"/>
    </row>
    <row r="190" spans="1:16" x14ac:dyDescent="0.3">
      <c r="A190" s="32"/>
      <c r="B190" s="131"/>
      <c r="C190" s="275"/>
      <c r="D190" s="276" t="s">
        <v>271</v>
      </c>
      <c r="E190" s="125">
        <f>E186*2</f>
        <v>58</v>
      </c>
      <c r="F190" s="277">
        <v>0</v>
      </c>
      <c r="G190" s="278">
        <f>E190+(E190*F190)</f>
        <v>58</v>
      </c>
      <c r="H190" s="174" t="s">
        <v>11</v>
      </c>
      <c r="I190" s="279">
        <v>5.7700000000000001E-2</v>
      </c>
      <c r="J190" s="280">
        <f t="shared" si="185"/>
        <v>3.3466</v>
      </c>
      <c r="K190" s="233">
        <f t="shared" si="174"/>
        <v>121.66</v>
      </c>
      <c r="L190" s="282">
        <v>2.24E-2</v>
      </c>
      <c r="M190" s="283">
        <f t="shared" si="186"/>
        <v>1.2991999999999999</v>
      </c>
      <c r="N190" s="280">
        <f>M190*K190</f>
        <v>158.06067199999998</v>
      </c>
      <c r="O190" s="284">
        <f t="shared" si="176"/>
        <v>161.40727199999998</v>
      </c>
      <c r="P190" s="86"/>
    </row>
    <row r="191" spans="1:16" x14ac:dyDescent="0.3">
      <c r="A191" s="32"/>
      <c r="B191" s="131"/>
      <c r="C191" s="275"/>
      <c r="D191" s="7" t="s">
        <v>272</v>
      </c>
      <c r="E191" s="125">
        <f>E186</f>
        <v>29</v>
      </c>
      <c r="F191" s="277">
        <v>0</v>
      </c>
      <c r="G191" s="278">
        <f>E191+(E191*F191)</f>
        <v>29</v>
      </c>
      <c r="H191" s="174" t="s">
        <v>11</v>
      </c>
      <c r="I191" s="279">
        <v>9.84</v>
      </c>
      <c r="J191" s="280">
        <f t="shared" si="185"/>
        <v>285.36</v>
      </c>
      <c r="K191" s="233">
        <f t="shared" si="174"/>
        <v>121.66</v>
      </c>
      <c r="L191" s="282">
        <v>0.04</v>
      </c>
      <c r="M191" s="283">
        <f t="shared" si="186"/>
        <v>1.1599999999999999</v>
      </c>
      <c r="N191" s="280">
        <f>M191*K191</f>
        <v>141.12559999999999</v>
      </c>
      <c r="O191" s="284">
        <f t="shared" si="176"/>
        <v>426.48559999999998</v>
      </c>
      <c r="P191" s="86"/>
    </row>
    <row r="192" spans="1:16" s="237" customFormat="1" x14ac:dyDescent="0.3">
      <c r="A192" s="228">
        <v>6</v>
      </c>
      <c r="B192" s="248"/>
      <c r="C192" s="253"/>
      <c r="D192" s="243" t="s">
        <v>265</v>
      </c>
      <c r="E192" s="72">
        <v>6</v>
      </c>
      <c r="F192" s="255">
        <v>0</v>
      </c>
      <c r="G192" s="78">
        <f t="shared" si="173"/>
        <v>6</v>
      </c>
      <c r="H192" s="5" t="s">
        <v>11</v>
      </c>
      <c r="I192" s="252">
        <v>29</v>
      </c>
      <c r="J192" s="234">
        <f t="shared" si="185"/>
        <v>174</v>
      </c>
      <c r="K192" s="233">
        <f t="shared" si="174"/>
        <v>121.66</v>
      </c>
      <c r="L192" s="3">
        <v>0.27</v>
      </c>
      <c r="M192" s="235">
        <f t="shared" si="186"/>
        <v>1.62</v>
      </c>
      <c r="N192" s="234">
        <f t="shared" si="175"/>
        <v>197.08920000000001</v>
      </c>
      <c r="O192" s="52">
        <f t="shared" si="176"/>
        <v>371.08920000000001</v>
      </c>
      <c r="P192" s="236"/>
    </row>
    <row r="193" spans="1:16" x14ac:dyDescent="0.3">
      <c r="A193" s="32"/>
      <c r="B193" s="131"/>
      <c r="C193" s="275"/>
      <c r="D193" s="276" t="s">
        <v>268</v>
      </c>
      <c r="E193" s="125">
        <f>E192</f>
        <v>6</v>
      </c>
      <c r="F193" s="277">
        <v>0</v>
      </c>
      <c r="G193" s="278">
        <f>E193+(E193*F193)</f>
        <v>6</v>
      </c>
      <c r="H193" s="174" t="s">
        <v>11</v>
      </c>
      <c r="I193" s="279">
        <v>3.77</v>
      </c>
      <c r="J193" s="280">
        <f t="shared" ref="J193:J197" si="187">I193*G193</f>
        <v>22.62</v>
      </c>
      <c r="K193" s="233">
        <f t="shared" si="174"/>
        <v>121.66</v>
      </c>
      <c r="L193" s="282">
        <v>0.4</v>
      </c>
      <c r="M193" s="283">
        <f t="shared" ref="M193:M197" si="188">L193*G193</f>
        <v>2.4000000000000004</v>
      </c>
      <c r="N193" s="280">
        <f>M193*K193</f>
        <v>291.98400000000004</v>
      </c>
      <c r="O193" s="284">
        <f t="shared" ref="O193:O197" si="189">J193+N193</f>
        <v>314.60400000000004</v>
      </c>
      <c r="P193" s="86"/>
    </row>
    <row r="194" spans="1:16" x14ac:dyDescent="0.3">
      <c r="A194" s="32"/>
      <c r="B194" s="131"/>
      <c r="C194" s="275"/>
      <c r="D194" s="276" t="s">
        <v>269</v>
      </c>
      <c r="E194" s="125">
        <f>E192</f>
        <v>6</v>
      </c>
      <c r="F194" s="277">
        <v>0</v>
      </c>
      <c r="G194" s="278">
        <f>E194+(E194*F194)</f>
        <v>6</v>
      </c>
      <c r="H194" s="174" t="s">
        <v>11</v>
      </c>
      <c r="I194" s="279">
        <v>2.31</v>
      </c>
      <c r="J194" s="280">
        <f t="shared" si="187"/>
        <v>13.86</v>
      </c>
      <c r="K194" s="233">
        <f t="shared" si="174"/>
        <v>121.66</v>
      </c>
      <c r="L194" s="282">
        <v>2.0000000000000004E-2</v>
      </c>
      <c r="M194" s="283">
        <f t="shared" si="188"/>
        <v>0.12000000000000002</v>
      </c>
      <c r="N194" s="280">
        <f>M194*K194</f>
        <v>14.599200000000003</v>
      </c>
      <c r="O194" s="284">
        <f t="shared" si="189"/>
        <v>28.459200000000003</v>
      </c>
      <c r="P194" s="86"/>
    </row>
    <row r="195" spans="1:16" x14ac:dyDescent="0.3">
      <c r="A195" s="32"/>
      <c r="B195" s="131"/>
      <c r="C195" s="275"/>
      <c r="D195" s="276" t="s">
        <v>270</v>
      </c>
      <c r="E195" s="125">
        <f>E192</f>
        <v>6</v>
      </c>
      <c r="F195" s="277">
        <v>0</v>
      </c>
      <c r="G195" s="278">
        <f>E195+(E195*F195)</f>
        <v>6</v>
      </c>
      <c r="H195" s="174" t="s">
        <v>11</v>
      </c>
      <c r="I195" s="279">
        <v>0.87</v>
      </c>
      <c r="J195" s="280">
        <f t="shared" si="187"/>
        <v>5.22</v>
      </c>
      <c r="K195" s="233">
        <f t="shared" si="174"/>
        <v>121.66</v>
      </c>
      <c r="L195" s="282">
        <v>2.4E-2</v>
      </c>
      <c r="M195" s="283">
        <f t="shared" si="188"/>
        <v>0.14400000000000002</v>
      </c>
      <c r="N195" s="280">
        <f>M195*K195</f>
        <v>17.51904</v>
      </c>
      <c r="O195" s="284">
        <f t="shared" si="189"/>
        <v>22.739039999999999</v>
      </c>
      <c r="P195" s="86"/>
    </row>
    <row r="196" spans="1:16" x14ac:dyDescent="0.3">
      <c r="A196" s="32"/>
      <c r="B196" s="131"/>
      <c r="C196" s="275"/>
      <c r="D196" s="276" t="s">
        <v>271</v>
      </c>
      <c r="E196" s="125">
        <f>E192*2</f>
        <v>12</v>
      </c>
      <c r="F196" s="277">
        <v>0</v>
      </c>
      <c r="G196" s="278">
        <f>E196+(E196*F196)</f>
        <v>12</v>
      </c>
      <c r="H196" s="174" t="s">
        <v>11</v>
      </c>
      <c r="I196" s="279">
        <v>5.7700000000000001E-2</v>
      </c>
      <c r="J196" s="280">
        <f t="shared" si="187"/>
        <v>0.69240000000000002</v>
      </c>
      <c r="K196" s="233">
        <f t="shared" si="174"/>
        <v>121.66</v>
      </c>
      <c r="L196" s="282">
        <v>2.24E-2</v>
      </c>
      <c r="M196" s="283">
        <f t="shared" si="188"/>
        <v>0.26879999999999998</v>
      </c>
      <c r="N196" s="280">
        <f>M196*K196</f>
        <v>32.702207999999999</v>
      </c>
      <c r="O196" s="284">
        <f t="shared" si="189"/>
        <v>33.394607999999998</v>
      </c>
      <c r="P196" s="86"/>
    </row>
    <row r="197" spans="1:16" x14ac:dyDescent="0.3">
      <c r="A197" s="32"/>
      <c r="B197" s="131"/>
      <c r="C197" s="275"/>
      <c r="D197" s="7" t="s">
        <v>272</v>
      </c>
      <c r="E197" s="125">
        <f>E192</f>
        <v>6</v>
      </c>
      <c r="F197" s="277">
        <v>0</v>
      </c>
      <c r="G197" s="278">
        <f>E197+(E197*F197)</f>
        <v>6</v>
      </c>
      <c r="H197" s="174" t="s">
        <v>11</v>
      </c>
      <c r="I197" s="279">
        <v>9.84</v>
      </c>
      <c r="J197" s="280">
        <f t="shared" si="187"/>
        <v>59.04</v>
      </c>
      <c r="K197" s="233">
        <f t="shared" si="174"/>
        <v>121.66</v>
      </c>
      <c r="L197" s="282">
        <v>0.04</v>
      </c>
      <c r="M197" s="283">
        <f t="shared" si="188"/>
        <v>0.24</v>
      </c>
      <c r="N197" s="280">
        <f>M197*K197</f>
        <v>29.198399999999999</v>
      </c>
      <c r="O197" s="284">
        <f t="shared" si="189"/>
        <v>88.238399999999999</v>
      </c>
      <c r="P197" s="86"/>
    </row>
    <row r="198" spans="1:16" s="237" customFormat="1" x14ac:dyDescent="0.3">
      <c r="A198" s="228">
        <v>7</v>
      </c>
      <c r="B198" s="248"/>
      <c r="C198" s="253"/>
      <c r="D198" s="243" t="s">
        <v>266</v>
      </c>
      <c r="E198" s="72">
        <v>3</v>
      </c>
      <c r="F198" s="255">
        <v>0</v>
      </c>
      <c r="G198" s="78">
        <f t="shared" ref="G198:G212" si="190">E198+(E198*F198)</f>
        <v>3</v>
      </c>
      <c r="H198" s="5" t="s">
        <v>11</v>
      </c>
      <c r="I198" s="252">
        <f>29+20</f>
        <v>49</v>
      </c>
      <c r="J198" s="234">
        <f t="shared" ref="J198" si="191">I198*G198</f>
        <v>147</v>
      </c>
      <c r="K198" s="233">
        <f t="shared" si="174"/>
        <v>121.66</v>
      </c>
      <c r="L198" s="3">
        <f>0.27+0.1</f>
        <v>0.37</v>
      </c>
      <c r="M198" s="235">
        <f t="shared" ref="M198" si="192">L198*G198</f>
        <v>1.1099999999999999</v>
      </c>
      <c r="N198" s="234">
        <f t="shared" ref="N198:N212" si="193">M198*K198</f>
        <v>135.04259999999999</v>
      </c>
      <c r="O198" s="52">
        <f t="shared" ref="O198:O212" si="194">J198+N198</f>
        <v>282.04259999999999</v>
      </c>
      <c r="P198" s="236"/>
    </row>
    <row r="199" spans="1:16" x14ac:dyDescent="0.3">
      <c r="A199" s="32"/>
      <c r="B199" s="131"/>
      <c r="C199" s="275"/>
      <c r="D199" s="276" t="s">
        <v>268</v>
      </c>
      <c r="E199" s="125">
        <f>E198</f>
        <v>3</v>
      </c>
      <c r="F199" s="277">
        <v>0</v>
      </c>
      <c r="G199" s="278">
        <f>E199+(E199*F199)</f>
        <v>3</v>
      </c>
      <c r="H199" s="174" t="s">
        <v>11</v>
      </c>
      <c r="I199" s="279">
        <v>3.77</v>
      </c>
      <c r="J199" s="280">
        <f t="shared" ref="J199:J204" si="195">I199*G199</f>
        <v>11.31</v>
      </c>
      <c r="K199" s="233">
        <f t="shared" si="174"/>
        <v>121.66</v>
      </c>
      <c r="L199" s="282">
        <v>0.4</v>
      </c>
      <c r="M199" s="283">
        <f t="shared" ref="M199:M204" si="196">L199*G199</f>
        <v>1.2000000000000002</v>
      </c>
      <c r="N199" s="280">
        <f>M199*K199</f>
        <v>145.99200000000002</v>
      </c>
      <c r="O199" s="284">
        <f t="shared" si="194"/>
        <v>157.30200000000002</v>
      </c>
      <c r="P199" s="86"/>
    </row>
    <row r="200" spans="1:16" x14ac:dyDescent="0.3">
      <c r="A200" s="32"/>
      <c r="B200" s="131"/>
      <c r="C200" s="275"/>
      <c r="D200" s="276" t="s">
        <v>269</v>
      </c>
      <c r="E200" s="125">
        <f>E198</f>
        <v>3</v>
      </c>
      <c r="F200" s="277">
        <v>0</v>
      </c>
      <c r="G200" s="278">
        <f>E200+(E200*F200)</f>
        <v>3</v>
      </c>
      <c r="H200" s="174" t="s">
        <v>11</v>
      </c>
      <c r="I200" s="279">
        <v>2.31</v>
      </c>
      <c r="J200" s="280">
        <f t="shared" si="195"/>
        <v>6.93</v>
      </c>
      <c r="K200" s="233">
        <f t="shared" si="174"/>
        <v>121.66</v>
      </c>
      <c r="L200" s="282">
        <v>2.0000000000000004E-2</v>
      </c>
      <c r="M200" s="283">
        <f t="shared" si="196"/>
        <v>6.0000000000000012E-2</v>
      </c>
      <c r="N200" s="280">
        <f>M200*K200</f>
        <v>7.2996000000000016</v>
      </c>
      <c r="O200" s="284">
        <f t="shared" si="194"/>
        <v>14.229600000000001</v>
      </c>
      <c r="P200" s="86"/>
    </row>
    <row r="201" spans="1:16" x14ac:dyDescent="0.3">
      <c r="A201" s="32"/>
      <c r="B201" s="131"/>
      <c r="C201" s="275"/>
      <c r="D201" s="276" t="s">
        <v>270</v>
      </c>
      <c r="E201" s="125">
        <f>E198</f>
        <v>3</v>
      </c>
      <c r="F201" s="277">
        <v>0</v>
      </c>
      <c r="G201" s="278">
        <f>E201+(E201*F201)</f>
        <v>3</v>
      </c>
      <c r="H201" s="174" t="s">
        <v>11</v>
      </c>
      <c r="I201" s="279">
        <v>0.87</v>
      </c>
      <c r="J201" s="280">
        <f t="shared" si="195"/>
        <v>2.61</v>
      </c>
      <c r="K201" s="233">
        <f t="shared" si="174"/>
        <v>121.66</v>
      </c>
      <c r="L201" s="282">
        <v>2.4E-2</v>
      </c>
      <c r="M201" s="283">
        <f t="shared" si="196"/>
        <v>7.2000000000000008E-2</v>
      </c>
      <c r="N201" s="280">
        <f>M201*K201</f>
        <v>8.7595200000000002</v>
      </c>
      <c r="O201" s="284">
        <f t="shared" si="194"/>
        <v>11.36952</v>
      </c>
      <c r="P201" s="86"/>
    </row>
    <row r="202" spans="1:16" x14ac:dyDescent="0.3">
      <c r="A202" s="32"/>
      <c r="B202" s="131"/>
      <c r="C202" s="275"/>
      <c r="D202" s="276" t="s">
        <v>271</v>
      </c>
      <c r="E202" s="125">
        <f>E198*2</f>
        <v>6</v>
      </c>
      <c r="F202" s="277">
        <v>0</v>
      </c>
      <c r="G202" s="278">
        <f>E202+(E202*F202)</f>
        <v>6</v>
      </c>
      <c r="H202" s="174" t="s">
        <v>11</v>
      </c>
      <c r="I202" s="279">
        <v>5.7700000000000001E-2</v>
      </c>
      <c r="J202" s="280">
        <f t="shared" si="195"/>
        <v>0.34620000000000001</v>
      </c>
      <c r="K202" s="233">
        <f t="shared" si="174"/>
        <v>121.66</v>
      </c>
      <c r="L202" s="282">
        <v>2.24E-2</v>
      </c>
      <c r="M202" s="283">
        <f t="shared" si="196"/>
        <v>0.13439999999999999</v>
      </c>
      <c r="N202" s="280">
        <f>M202*K202</f>
        <v>16.351103999999999</v>
      </c>
      <c r="O202" s="284">
        <f t="shared" si="194"/>
        <v>16.697303999999999</v>
      </c>
      <c r="P202" s="86"/>
    </row>
    <row r="203" spans="1:16" x14ac:dyDescent="0.3">
      <c r="A203" s="32"/>
      <c r="B203" s="131"/>
      <c r="C203" s="275"/>
      <c r="D203" s="7" t="s">
        <v>272</v>
      </c>
      <c r="E203" s="125">
        <f>E198</f>
        <v>3</v>
      </c>
      <c r="F203" s="277">
        <v>0</v>
      </c>
      <c r="G203" s="278">
        <f>E203+(E203*F203)</f>
        <v>3</v>
      </c>
      <c r="H203" s="174" t="s">
        <v>11</v>
      </c>
      <c r="I203" s="279">
        <v>9.84</v>
      </c>
      <c r="J203" s="280">
        <f t="shared" si="195"/>
        <v>29.52</v>
      </c>
      <c r="K203" s="233">
        <f t="shared" si="174"/>
        <v>121.66</v>
      </c>
      <c r="L203" s="282">
        <v>0.04</v>
      </c>
      <c r="M203" s="283">
        <f t="shared" si="196"/>
        <v>0.12</v>
      </c>
      <c r="N203" s="280">
        <f>M203*K203</f>
        <v>14.5992</v>
      </c>
      <c r="O203" s="284">
        <f t="shared" si="194"/>
        <v>44.119199999999999</v>
      </c>
      <c r="P203" s="86"/>
    </row>
    <row r="204" spans="1:16" s="237" customFormat="1" ht="28.8" x14ac:dyDescent="0.3">
      <c r="A204" s="228">
        <v>8</v>
      </c>
      <c r="B204" s="248"/>
      <c r="C204" s="249"/>
      <c r="D204" s="251" t="s">
        <v>156</v>
      </c>
      <c r="E204" s="72">
        <v>2</v>
      </c>
      <c r="F204" s="1">
        <v>0</v>
      </c>
      <c r="G204" s="78">
        <f t="shared" si="190"/>
        <v>2</v>
      </c>
      <c r="H204" s="5" t="s">
        <v>11</v>
      </c>
      <c r="I204" s="252">
        <v>420</v>
      </c>
      <c r="J204" s="234">
        <f t="shared" si="195"/>
        <v>840</v>
      </c>
      <c r="K204" s="233">
        <f t="shared" si="174"/>
        <v>121.66</v>
      </c>
      <c r="L204" s="3">
        <v>1.2</v>
      </c>
      <c r="M204" s="235">
        <f t="shared" si="196"/>
        <v>2.4</v>
      </c>
      <c r="N204" s="234">
        <f t="shared" si="193"/>
        <v>291.98399999999998</v>
      </c>
      <c r="O204" s="52">
        <f t="shared" si="194"/>
        <v>1131.9839999999999</v>
      </c>
      <c r="P204" s="236"/>
    </row>
    <row r="205" spans="1:16" s="237" customFormat="1" x14ac:dyDescent="0.3">
      <c r="A205" s="228">
        <v>9</v>
      </c>
      <c r="B205" s="248"/>
      <c r="C205" s="253"/>
      <c r="D205" s="254" t="s">
        <v>153</v>
      </c>
      <c r="E205" s="72">
        <v>3</v>
      </c>
      <c r="F205" s="255">
        <v>0</v>
      </c>
      <c r="G205" s="78">
        <f t="shared" si="190"/>
        <v>3</v>
      </c>
      <c r="H205" s="5" t="s">
        <v>11</v>
      </c>
      <c r="I205" s="252">
        <v>102.48</v>
      </c>
      <c r="J205" s="234">
        <f t="shared" ref="J205:J212" si="197">I205*G205</f>
        <v>307.44</v>
      </c>
      <c r="K205" s="233">
        <f t="shared" si="174"/>
        <v>121.66</v>
      </c>
      <c r="L205" s="3">
        <v>0.2</v>
      </c>
      <c r="M205" s="235">
        <f t="shared" ref="M205:M212" si="198">L205*G205</f>
        <v>0.60000000000000009</v>
      </c>
      <c r="N205" s="234">
        <f t="shared" si="193"/>
        <v>72.996000000000009</v>
      </c>
      <c r="O205" s="52">
        <f t="shared" si="194"/>
        <v>380.43600000000004</v>
      </c>
      <c r="P205" s="236"/>
    </row>
    <row r="206" spans="1:16" x14ac:dyDescent="0.3">
      <c r="A206" s="32"/>
      <c r="B206" s="131"/>
      <c r="C206" s="275"/>
      <c r="D206" s="276" t="s">
        <v>268</v>
      </c>
      <c r="E206" s="125">
        <f>E205</f>
        <v>3</v>
      </c>
      <c r="F206" s="277">
        <v>0</v>
      </c>
      <c r="G206" s="278">
        <f t="shared" si="190"/>
        <v>3</v>
      </c>
      <c r="H206" s="174" t="s">
        <v>11</v>
      </c>
      <c r="I206" s="279">
        <v>3.77</v>
      </c>
      <c r="J206" s="280">
        <f t="shared" si="197"/>
        <v>11.31</v>
      </c>
      <c r="K206" s="281">
        <f>$K$5</f>
        <v>121.66</v>
      </c>
      <c r="L206" s="282">
        <v>0.4</v>
      </c>
      <c r="M206" s="283">
        <f t="shared" si="198"/>
        <v>1.2000000000000002</v>
      </c>
      <c r="N206" s="280">
        <f t="shared" si="193"/>
        <v>145.99200000000002</v>
      </c>
      <c r="O206" s="284">
        <f t="shared" si="194"/>
        <v>157.30200000000002</v>
      </c>
      <c r="P206" s="86"/>
    </row>
    <row r="207" spans="1:16" x14ac:dyDescent="0.3">
      <c r="A207" s="32"/>
      <c r="B207" s="131"/>
      <c r="C207" s="275"/>
      <c r="D207" s="276" t="s">
        <v>269</v>
      </c>
      <c r="E207" s="125">
        <f>E205</f>
        <v>3</v>
      </c>
      <c r="F207" s="277">
        <v>0</v>
      </c>
      <c r="G207" s="278">
        <f t="shared" si="190"/>
        <v>3</v>
      </c>
      <c r="H207" s="174" t="s">
        <v>11</v>
      </c>
      <c r="I207" s="279">
        <v>2.31</v>
      </c>
      <c r="J207" s="280">
        <f t="shared" si="197"/>
        <v>6.93</v>
      </c>
      <c r="K207" s="281">
        <f>$K$5</f>
        <v>121.66</v>
      </c>
      <c r="L207" s="282">
        <v>2.0000000000000004E-2</v>
      </c>
      <c r="M207" s="283">
        <f t="shared" si="198"/>
        <v>6.0000000000000012E-2</v>
      </c>
      <c r="N207" s="280">
        <f t="shared" si="193"/>
        <v>7.2996000000000016</v>
      </c>
      <c r="O207" s="284">
        <f t="shared" si="194"/>
        <v>14.229600000000001</v>
      </c>
      <c r="P207" s="86"/>
    </row>
    <row r="208" spans="1:16" x14ac:dyDescent="0.3">
      <c r="A208" s="32"/>
      <c r="B208" s="131"/>
      <c r="C208" s="275"/>
      <c r="D208" s="276" t="s">
        <v>270</v>
      </c>
      <c r="E208" s="125">
        <f>E205</f>
        <v>3</v>
      </c>
      <c r="F208" s="277">
        <v>0</v>
      </c>
      <c r="G208" s="278">
        <f t="shared" si="190"/>
        <v>3</v>
      </c>
      <c r="H208" s="174" t="s">
        <v>11</v>
      </c>
      <c r="I208" s="279">
        <v>0.87</v>
      </c>
      <c r="J208" s="280">
        <f t="shared" si="197"/>
        <v>2.61</v>
      </c>
      <c r="K208" s="281">
        <f>$K$5</f>
        <v>121.66</v>
      </c>
      <c r="L208" s="282">
        <v>2.4E-2</v>
      </c>
      <c r="M208" s="283">
        <f t="shared" si="198"/>
        <v>7.2000000000000008E-2</v>
      </c>
      <c r="N208" s="280">
        <f t="shared" si="193"/>
        <v>8.7595200000000002</v>
      </c>
      <c r="O208" s="284">
        <f t="shared" si="194"/>
        <v>11.36952</v>
      </c>
      <c r="P208" s="86"/>
    </row>
    <row r="209" spans="1:16" x14ac:dyDescent="0.3">
      <c r="A209" s="32"/>
      <c r="B209" s="131"/>
      <c r="C209" s="275"/>
      <c r="D209" s="276" t="s">
        <v>271</v>
      </c>
      <c r="E209" s="125">
        <f>E205*2</f>
        <v>6</v>
      </c>
      <c r="F209" s="277">
        <v>0</v>
      </c>
      <c r="G209" s="278">
        <f t="shared" si="190"/>
        <v>6</v>
      </c>
      <c r="H209" s="174" t="s">
        <v>11</v>
      </c>
      <c r="I209" s="279">
        <v>5.7700000000000001E-2</v>
      </c>
      <c r="J209" s="280">
        <f t="shared" si="197"/>
        <v>0.34620000000000001</v>
      </c>
      <c r="K209" s="281">
        <f>$K$5</f>
        <v>121.66</v>
      </c>
      <c r="L209" s="282">
        <v>2.24E-2</v>
      </c>
      <c r="M209" s="283">
        <f t="shared" si="198"/>
        <v>0.13439999999999999</v>
      </c>
      <c r="N209" s="280">
        <f t="shared" si="193"/>
        <v>16.351103999999999</v>
      </c>
      <c r="O209" s="284">
        <f t="shared" si="194"/>
        <v>16.697303999999999</v>
      </c>
      <c r="P209" s="86"/>
    </row>
    <row r="210" spans="1:16" x14ac:dyDescent="0.3">
      <c r="A210" s="32"/>
      <c r="B210" s="131"/>
      <c r="C210" s="275"/>
      <c r="D210" s="7" t="s">
        <v>273</v>
      </c>
      <c r="E210" s="125">
        <f>E205</f>
        <v>3</v>
      </c>
      <c r="F210" s="277">
        <v>0</v>
      </c>
      <c r="G210" s="278">
        <f t="shared" si="190"/>
        <v>3</v>
      </c>
      <c r="H210" s="174" t="s">
        <v>11</v>
      </c>
      <c r="I210" s="279">
        <v>9.84</v>
      </c>
      <c r="J210" s="280">
        <f t="shared" si="197"/>
        <v>29.52</v>
      </c>
      <c r="K210" s="281">
        <f>$K$5</f>
        <v>121.66</v>
      </c>
      <c r="L210" s="282">
        <v>0.04</v>
      </c>
      <c r="M210" s="283">
        <f t="shared" si="198"/>
        <v>0.12</v>
      </c>
      <c r="N210" s="280">
        <f t="shared" si="193"/>
        <v>14.5992</v>
      </c>
      <c r="O210" s="284">
        <f t="shared" si="194"/>
        <v>44.119199999999999</v>
      </c>
      <c r="P210" s="86"/>
    </row>
    <row r="211" spans="1:16" s="237" customFormat="1" x14ac:dyDescent="0.3">
      <c r="A211" s="228">
        <v>10</v>
      </c>
      <c r="B211" s="248"/>
      <c r="C211" s="253"/>
      <c r="D211" s="254" t="s">
        <v>154</v>
      </c>
      <c r="E211" s="72">
        <v>2</v>
      </c>
      <c r="F211" s="255">
        <v>0</v>
      </c>
      <c r="G211" s="78">
        <f t="shared" si="190"/>
        <v>2</v>
      </c>
      <c r="H211" s="5" t="s">
        <v>11</v>
      </c>
      <c r="I211" s="252">
        <v>55</v>
      </c>
      <c r="J211" s="234">
        <f t="shared" si="197"/>
        <v>110</v>
      </c>
      <c r="K211" s="233">
        <f t="shared" si="174"/>
        <v>121.66</v>
      </c>
      <c r="L211" s="3">
        <v>0.3</v>
      </c>
      <c r="M211" s="235">
        <f t="shared" si="198"/>
        <v>0.6</v>
      </c>
      <c r="N211" s="234">
        <f t="shared" si="193"/>
        <v>72.995999999999995</v>
      </c>
      <c r="O211" s="52">
        <f t="shared" si="194"/>
        <v>182.99599999999998</v>
      </c>
      <c r="P211" s="236"/>
    </row>
    <row r="212" spans="1:16" s="237" customFormat="1" x14ac:dyDescent="0.3">
      <c r="A212" s="228">
        <v>11</v>
      </c>
      <c r="B212" s="248"/>
      <c r="C212" s="253"/>
      <c r="D212" s="254" t="s">
        <v>155</v>
      </c>
      <c r="E212" s="72">
        <v>1</v>
      </c>
      <c r="F212" s="255">
        <v>0</v>
      </c>
      <c r="G212" s="78">
        <f t="shared" si="190"/>
        <v>1</v>
      </c>
      <c r="H212" s="5" t="s">
        <v>11</v>
      </c>
      <c r="I212" s="252">
        <v>75</v>
      </c>
      <c r="J212" s="234">
        <f t="shared" si="197"/>
        <v>75</v>
      </c>
      <c r="K212" s="233">
        <f t="shared" si="174"/>
        <v>121.66</v>
      </c>
      <c r="L212" s="3">
        <v>0.3</v>
      </c>
      <c r="M212" s="235">
        <f t="shared" si="198"/>
        <v>0.3</v>
      </c>
      <c r="N212" s="234">
        <f t="shared" si="193"/>
        <v>36.497999999999998</v>
      </c>
      <c r="O212" s="52">
        <f t="shared" si="194"/>
        <v>111.49799999999999</v>
      </c>
      <c r="P212" s="236"/>
    </row>
    <row r="213" spans="1:16" s="237" customFormat="1" x14ac:dyDescent="0.3">
      <c r="A213" s="228">
        <v>12</v>
      </c>
      <c r="B213" s="248"/>
      <c r="C213" s="253"/>
      <c r="D213" s="243" t="s">
        <v>267</v>
      </c>
      <c r="E213" s="72">
        <v>1</v>
      </c>
      <c r="F213" s="255">
        <v>0</v>
      </c>
      <c r="G213" s="78">
        <f t="shared" si="173"/>
        <v>1</v>
      </c>
      <c r="H213" s="5" t="s">
        <v>11</v>
      </c>
      <c r="I213" s="252">
        <v>48</v>
      </c>
      <c r="J213" s="234">
        <f t="shared" ref="J213:J218" si="199">I213*G213</f>
        <v>48</v>
      </c>
      <c r="K213" s="233">
        <f t="shared" si="174"/>
        <v>121.66</v>
      </c>
      <c r="L213" s="3">
        <v>0.4</v>
      </c>
      <c r="M213" s="235">
        <f t="shared" ref="M213:M218" si="200">L213*G213</f>
        <v>0.4</v>
      </c>
      <c r="N213" s="234">
        <f t="shared" si="175"/>
        <v>48.664000000000001</v>
      </c>
      <c r="O213" s="52">
        <f t="shared" si="176"/>
        <v>96.664000000000001</v>
      </c>
      <c r="P213" s="236"/>
    </row>
    <row r="214" spans="1:16" x14ac:dyDescent="0.3">
      <c r="A214" s="32"/>
      <c r="B214" s="131"/>
      <c r="C214" s="275"/>
      <c r="D214" s="7" t="s">
        <v>268</v>
      </c>
      <c r="E214" s="125">
        <f>E213</f>
        <v>1</v>
      </c>
      <c r="F214" s="1">
        <v>0</v>
      </c>
      <c r="G214" s="278">
        <f t="shared" si="173"/>
        <v>1</v>
      </c>
      <c r="H214" s="174" t="s">
        <v>11</v>
      </c>
      <c r="I214" s="279">
        <v>4.9800000000000004</v>
      </c>
      <c r="J214" s="290">
        <f t="shared" si="199"/>
        <v>4.9800000000000004</v>
      </c>
      <c r="K214" s="291">
        <f t="shared" si="174"/>
        <v>121.66</v>
      </c>
      <c r="L214" s="292">
        <v>0.4</v>
      </c>
      <c r="M214" s="292">
        <f t="shared" si="200"/>
        <v>0.4</v>
      </c>
      <c r="N214" s="290">
        <f t="shared" si="175"/>
        <v>48.664000000000001</v>
      </c>
      <c r="O214" s="284">
        <f t="shared" si="176"/>
        <v>53.644000000000005</v>
      </c>
      <c r="P214" s="86"/>
    </row>
    <row r="215" spans="1:16" x14ac:dyDescent="0.3">
      <c r="A215" s="32"/>
      <c r="B215" s="131"/>
      <c r="C215" s="275"/>
      <c r="D215" s="276" t="s">
        <v>276</v>
      </c>
      <c r="E215" s="125">
        <f>E213</f>
        <v>1</v>
      </c>
      <c r="F215" s="1">
        <v>0</v>
      </c>
      <c r="G215" s="278">
        <f t="shared" si="173"/>
        <v>1</v>
      </c>
      <c r="H215" s="174" t="s">
        <v>11</v>
      </c>
      <c r="I215" s="293">
        <v>4.3099999999999996</v>
      </c>
      <c r="J215" s="290">
        <f t="shared" si="199"/>
        <v>4.3099999999999996</v>
      </c>
      <c r="K215" s="291">
        <f t="shared" si="174"/>
        <v>121.66</v>
      </c>
      <c r="L215" s="292">
        <v>0.04</v>
      </c>
      <c r="M215" s="292">
        <f t="shared" si="200"/>
        <v>0.04</v>
      </c>
      <c r="N215" s="290">
        <f t="shared" si="175"/>
        <v>4.8663999999999996</v>
      </c>
      <c r="O215" s="284">
        <f t="shared" si="176"/>
        <v>9.1763999999999992</v>
      </c>
      <c r="P215" s="86"/>
    </row>
    <row r="216" spans="1:16" x14ac:dyDescent="0.3">
      <c r="A216" s="32"/>
      <c r="B216" s="131"/>
      <c r="C216" s="275"/>
      <c r="D216" s="276" t="s">
        <v>270</v>
      </c>
      <c r="E216" s="125">
        <f>E213</f>
        <v>1</v>
      </c>
      <c r="F216" s="1">
        <v>0</v>
      </c>
      <c r="G216" s="278">
        <f t="shared" si="173"/>
        <v>1</v>
      </c>
      <c r="H216" s="174" t="s">
        <v>11</v>
      </c>
      <c r="I216" s="293">
        <v>0.87</v>
      </c>
      <c r="J216" s="290">
        <f t="shared" si="199"/>
        <v>0.87</v>
      </c>
      <c r="K216" s="291">
        <f t="shared" si="174"/>
        <v>121.66</v>
      </c>
      <c r="L216" s="292">
        <v>0.03</v>
      </c>
      <c r="M216" s="292">
        <f t="shared" si="200"/>
        <v>0.03</v>
      </c>
      <c r="N216" s="290">
        <f t="shared" si="175"/>
        <v>3.6497999999999999</v>
      </c>
      <c r="O216" s="284">
        <f t="shared" si="176"/>
        <v>4.5198</v>
      </c>
      <c r="P216" s="86"/>
    </row>
    <row r="217" spans="1:16" x14ac:dyDescent="0.3">
      <c r="A217" s="32"/>
      <c r="B217" s="131"/>
      <c r="C217" s="275"/>
      <c r="D217" s="276" t="s">
        <v>271</v>
      </c>
      <c r="E217" s="125">
        <f>E213*2</f>
        <v>2</v>
      </c>
      <c r="F217" s="1">
        <v>0</v>
      </c>
      <c r="G217" s="278">
        <f t="shared" si="173"/>
        <v>2</v>
      </c>
      <c r="H217" s="174" t="s">
        <v>11</v>
      </c>
      <c r="I217" s="293">
        <v>5.7700000000000001E-2</v>
      </c>
      <c r="J217" s="290">
        <f t="shared" si="199"/>
        <v>0.1154</v>
      </c>
      <c r="K217" s="291">
        <f t="shared" si="174"/>
        <v>121.66</v>
      </c>
      <c r="L217" s="292">
        <v>0.03</v>
      </c>
      <c r="M217" s="292">
        <f t="shared" si="200"/>
        <v>0.06</v>
      </c>
      <c r="N217" s="290">
        <f t="shared" si="175"/>
        <v>7.2995999999999999</v>
      </c>
      <c r="O217" s="284">
        <f t="shared" si="176"/>
        <v>7.415</v>
      </c>
      <c r="P217" s="86"/>
    </row>
    <row r="218" spans="1:16" x14ac:dyDescent="0.3">
      <c r="A218" s="32"/>
      <c r="B218" s="131"/>
      <c r="C218" s="275"/>
      <c r="D218" s="7" t="s">
        <v>277</v>
      </c>
      <c r="E218" s="125">
        <f>E213</f>
        <v>1</v>
      </c>
      <c r="F218" s="1">
        <v>0</v>
      </c>
      <c r="G218" s="278">
        <f t="shared" si="173"/>
        <v>1</v>
      </c>
      <c r="H218" s="174" t="s">
        <v>11</v>
      </c>
      <c r="I218" s="279">
        <v>19.68</v>
      </c>
      <c r="J218" s="294">
        <f t="shared" si="199"/>
        <v>19.68</v>
      </c>
      <c r="K218" s="291">
        <f t="shared" si="174"/>
        <v>121.66</v>
      </c>
      <c r="L218" s="292">
        <v>0.08</v>
      </c>
      <c r="M218" s="292">
        <f t="shared" si="200"/>
        <v>0.08</v>
      </c>
      <c r="N218" s="290">
        <f t="shared" si="175"/>
        <v>9.7327999999999992</v>
      </c>
      <c r="O218" s="284">
        <f t="shared" si="176"/>
        <v>29.412799999999997</v>
      </c>
      <c r="P218" s="86"/>
    </row>
    <row r="219" spans="1:16" ht="15" thickBot="1" x14ac:dyDescent="0.35">
      <c r="A219" s="32"/>
      <c r="B219" s="40"/>
      <c r="C219" s="40"/>
      <c r="D219" s="65"/>
      <c r="E219" s="71"/>
      <c r="F219" s="1"/>
      <c r="G219" s="182"/>
      <c r="H219" s="22"/>
      <c r="I219" s="56"/>
      <c r="J219" s="187"/>
      <c r="K219" s="57"/>
      <c r="L219" s="58"/>
      <c r="M219" s="58"/>
      <c r="N219" s="4"/>
      <c r="O219" s="51"/>
      <c r="P219" s="87"/>
    </row>
    <row r="220" spans="1:16" s="90" customFormat="1" ht="16.2" thickBot="1" x14ac:dyDescent="0.35">
      <c r="A220" s="59"/>
      <c r="B220" s="60"/>
      <c r="C220" s="60"/>
      <c r="D220" s="88"/>
      <c r="E220" s="127"/>
      <c r="F220" s="61"/>
      <c r="G220" s="370" t="s">
        <v>37</v>
      </c>
      <c r="H220" s="371"/>
      <c r="I220" s="185">
        <f>SUM(J166:J219)</f>
        <v>3344.8283999999994</v>
      </c>
      <c r="J220" s="372" t="s">
        <v>38</v>
      </c>
      <c r="K220" s="373"/>
      <c r="L220" s="194">
        <f>SUM(N166:N219)</f>
        <v>4751.5529600000009</v>
      </c>
      <c r="M220" s="116"/>
      <c r="N220" s="191"/>
      <c r="O220" s="62"/>
      <c r="P220" s="89">
        <f>SUM(O166:O219)</f>
        <v>8096.3813599999994</v>
      </c>
    </row>
    <row r="221" spans="1:16" ht="15" thickBot="1" x14ac:dyDescent="0.35">
      <c r="A221" s="91"/>
      <c r="B221" s="92"/>
      <c r="C221" s="93"/>
      <c r="D221" s="10"/>
      <c r="E221" s="128"/>
      <c r="F221" s="21"/>
      <c r="G221" s="182"/>
      <c r="H221" s="22"/>
      <c r="I221" s="11"/>
      <c r="J221" s="4"/>
      <c r="K221" s="4"/>
      <c r="L221" s="3"/>
      <c r="M221" s="66"/>
      <c r="N221" s="4"/>
      <c r="O221" s="52"/>
      <c r="P221" s="70"/>
    </row>
    <row r="222" spans="1:16" ht="30" customHeight="1" thickBot="1" x14ac:dyDescent="0.35">
      <c r="A222" s="322" t="s">
        <v>23</v>
      </c>
      <c r="B222" s="323"/>
      <c r="C222" s="323"/>
      <c r="D222" s="323"/>
      <c r="E222" s="323"/>
      <c r="F222" s="323"/>
      <c r="G222" s="323"/>
      <c r="H222" s="324"/>
      <c r="I222" s="20"/>
      <c r="J222" s="4"/>
      <c r="K222" s="4"/>
      <c r="L222" s="3"/>
      <c r="M222" s="3"/>
      <c r="N222" s="4"/>
      <c r="O222" s="52"/>
      <c r="P222" s="70"/>
    </row>
    <row r="223" spans="1:16" ht="20.100000000000001" customHeight="1" thickBot="1" x14ac:dyDescent="0.35">
      <c r="A223" s="364" t="s">
        <v>23</v>
      </c>
      <c r="B223" s="365"/>
      <c r="C223" s="365"/>
      <c r="D223" s="366" t="s">
        <v>17</v>
      </c>
      <c r="E223" s="74"/>
      <c r="F223" s="1"/>
      <c r="G223" s="78"/>
      <c r="H223" s="2"/>
      <c r="I223" s="11"/>
      <c r="J223" s="187"/>
      <c r="K223" s="4"/>
      <c r="L223" s="3"/>
      <c r="M223" s="3"/>
      <c r="N223" s="4"/>
      <c r="O223" s="52"/>
      <c r="P223" s="70"/>
    </row>
    <row r="224" spans="1:16" s="237" customFormat="1" ht="43.2" x14ac:dyDescent="0.3">
      <c r="A224" s="256">
        <v>1</v>
      </c>
      <c r="B224" s="248"/>
      <c r="C224" s="257"/>
      <c r="D224" s="251" t="s">
        <v>157</v>
      </c>
      <c r="E224" s="72">
        <v>3</v>
      </c>
      <c r="F224" s="1">
        <v>0</v>
      </c>
      <c r="G224" s="78">
        <f t="shared" ref="G224:G235" si="201">E224+(E224*F224)</f>
        <v>3</v>
      </c>
      <c r="H224" s="5" t="s">
        <v>11</v>
      </c>
      <c r="I224" s="285"/>
      <c r="J224" s="234">
        <f t="shared" ref="J224:J235" si="202">I224*G224</f>
        <v>0</v>
      </c>
      <c r="K224" s="233">
        <f t="shared" ref="K224:K235" si="203">$K$5</f>
        <v>121.66</v>
      </c>
      <c r="L224" s="3">
        <v>1.1000000000000001</v>
      </c>
      <c r="M224" s="235">
        <f t="shared" ref="M224:M235" si="204">L224*G224</f>
        <v>3.3000000000000003</v>
      </c>
      <c r="N224" s="4">
        <f t="shared" ref="N224:N235" si="205">K224*M224</f>
        <v>401.47800000000001</v>
      </c>
      <c r="O224" s="52">
        <f t="shared" ref="O224:O235" si="206">J224+N224</f>
        <v>401.47800000000001</v>
      </c>
      <c r="P224" s="236"/>
    </row>
    <row r="225" spans="1:16" s="237" customFormat="1" ht="43.2" x14ac:dyDescent="0.3">
      <c r="A225" s="256">
        <v>2</v>
      </c>
      <c r="B225" s="248"/>
      <c r="C225" s="231"/>
      <c r="D225" s="243" t="s">
        <v>158</v>
      </c>
      <c r="E225" s="72">
        <v>3</v>
      </c>
      <c r="F225" s="1">
        <v>0</v>
      </c>
      <c r="G225" s="78">
        <f t="shared" ref="G225:G233" si="207">E225+(E225*F225)</f>
        <v>3</v>
      </c>
      <c r="H225" s="5" t="s">
        <v>11</v>
      </c>
      <c r="I225" s="285"/>
      <c r="J225" s="234">
        <f t="shared" ref="J225:J233" si="208">I225*G225</f>
        <v>0</v>
      </c>
      <c r="K225" s="233">
        <f t="shared" si="203"/>
        <v>121.66</v>
      </c>
      <c r="L225" s="3">
        <v>1.1000000000000001</v>
      </c>
      <c r="M225" s="235">
        <f t="shared" ref="M225:M233" si="209">L225*G225</f>
        <v>3.3000000000000003</v>
      </c>
      <c r="N225" s="4">
        <f t="shared" ref="N225:N233" si="210">K225*M225</f>
        <v>401.47800000000001</v>
      </c>
      <c r="O225" s="52">
        <f t="shared" ref="O225:O233" si="211">J225+N225</f>
        <v>401.47800000000001</v>
      </c>
      <c r="P225" s="236"/>
    </row>
    <row r="226" spans="1:16" s="237" customFormat="1" ht="43.2" x14ac:dyDescent="0.3">
      <c r="A226" s="256">
        <v>3</v>
      </c>
      <c r="B226" s="248"/>
      <c r="C226" s="231"/>
      <c r="D226" s="243" t="s">
        <v>159</v>
      </c>
      <c r="E226" s="72">
        <v>5</v>
      </c>
      <c r="F226" s="1">
        <v>0</v>
      </c>
      <c r="G226" s="78">
        <f t="shared" si="207"/>
        <v>5</v>
      </c>
      <c r="H226" s="5" t="s">
        <v>11</v>
      </c>
      <c r="I226" s="285"/>
      <c r="J226" s="234">
        <f t="shared" si="208"/>
        <v>0</v>
      </c>
      <c r="K226" s="233">
        <f t="shared" si="203"/>
        <v>121.66</v>
      </c>
      <c r="L226" s="3">
        <v>1.3</v>
      </c>
      <c r="M226" s="235">
        <f t="shared" si="209"/>
        <v>6.5</v>
      </c>
      <c r="N226" s="4">
        <f t="shared" si="210"/>
        <v>790.79</v>
      </c>
      <c r="O226" s="52">
        <f t="shared" si="211"/>
        <v>790.79</v>
      </c>
      <c r="P226" s="236"/>
    </row>
    <row r="227" spans="1:16" s="237" customFormat="1" ht="43.2" x14ac:dyDescent="0.3">
      <c r="A227" s="256">
        <v>4</v>
      </c>
      <c r="B227" s="248"/>
      <c r="C227" s="231"/>
      <c r="D227" s="243" t="s">
        <v>160</v>
      </c>
      <c r="E227" s="72">
        <v>5</v>
      </c>
      <c r="F227" s="1">
        <v>0</v>
      </c>
      <c r="G227" s="78">
        <f t="shared" si="207"/>
        <v>5</v>
      </c>
      <c r="H227" s="5" t="s">
        <v>11</v>
      </c>
      <c r="I227" s="285"/>
      <c r="J227" s="234">
        <f t="shared" si="208"/>
        <v>0</v>
      </c>
      <c r="K227" s="233">
        <f t="shared" si="203"/>
        <v>121.66</v>
      </c>
      <c r="L227" s="3">
        <v>1.3</v>
      </c>
      <c r="M227" s="235">
        <f t="shared" si="209"/>
        <v>6.5</v>
      </c>
      <c r="N227" s="4">
        <f t="shared" si="210"/>
        <v>790.79</v>
      </c>
      <c r="O227" s="52">
        <f t="shared" si="211"/>
        <v>790.79</v>
      </c>
      <c r="P227" s="236"/>
    </row>
    <row r="228" spans="1:16" s="237" customFormat="1" ht="43.2" x14ac:dyDescent="0.3">
      <c r="A228" s="256">
        <v>5</v>
      </c>
      <c r="B228" s="248"/>
      <c r="C228" s="231"/>
      <c r="D228" s="243" t="s">
        <v>161</v>
      </c>
      <c r="E228" s="72">
        <v>2</v>
      </c>
      <c r="F228" s="1">
        <v>0</v>
      </c>
      <c r="G228" s="78">
        <f t="shared" si="207"/>
        <v>2</v>
      </c>
      <c r="H228" s="5" t="s">
        <v>11</v>
      </c>
      <c r="I228" s="285"/>
      <c r="J228" s="234">
        <f t="shared" si="208"/>
        <v>0</v>
      </c>
      <c r="K228" s="233">
        <f t="shared" si="203"/>
        <v>121.66</v>
      </c>
      <c r="L228" s="3">
        <v>1.1000000000000001</v>
      </c>
      <c r="M228" s="235">
        <f t="shared" si="209"/>
        <v>2.2000000000000002</v>
      </c>
      <c r="N228" s="4">
        <f t="shared" si="210"/>
        <v>267.65199999999999</v>
      </c>
      <c r="O228" s="52">
        <f t="shared" si="211"/>
        <v>267.65199999999999</v>
      </c>
      <c r="P228" s="236"/>
    </row>
    <row r="229" spans="1:16" s="237" customFormat="1" ht="57.6" x14ac:dyDescent="0.3">
      <c r="A229" s="256">
        <v>6</v>
      </c>
      <c r="B229" s="248"/>
      <c r="C229" s="231"/>
      <c r="D229" s="243" t="s">
        <v>167</v>
      </c>
      <c r="E229" s="72">
        <v>3</v>
      </c>
      <c r="F229" s="1">
        <v>0</v>
      </c>
      <c r="G229" s="78">
        <f t="shared" si="207"/>
        <v>3</v>
      </c>
      <c r="H229" s="5" t="s">
        <v>11</v>
      </c>
      <c r="I229" s="285"/>
      <c r="J229" s="234">
        <f t="shared" si="208"/>
        <v>0</v>
      </c>
      <c r="K229" s="233">
        <f t="shared" si="203"/>
        <v>121.66</v>
      </c>
      <c r="L229" s="3">
        <v>1.1000000000000001</v>
      </c>
      <c r="M229" s="235">
        <f t="shared" si="209"/>
        <v>3.3000000000000003</v>
      </c>
      <c r="N229" s="4">
        <f t="shared" si="210"/>
        <v>401.47800000000001</v>
      </c>
      <c r="O229" s="52">
        <f t="shared" si="211"/>
        <v>401.47800000000001</v>
      </c>
      <c r="P229" s="236"/>
    </row>
    <row r="230" spans="1:16" s="237" customFormat="1" ht="43.2" x14ac:dyDescent="0.3">
      <c r="A230" s="256">
        <v>7</v>
      </c>
      <c r="B230" s="248"/>
      <c r="C230" s="231"/>
      <c r="D230" s="251" t="s">
        <v>162</v>
      </c>
      <c r="E230" s="72">
        <v>3</v>
      </c>
      <c r="F230" s="1">
        <v>0</v>
      </c>
      <c r="G230" s="78">
        <f t="shared" si="207"/>
        <v>3</v>
      </c>
      <c r="H230" s="5" t="s">
        <v>11</v>
      </c>
      <c r="I230" s="285"/>
      <c r="J230" s="234">
        <f t="shared" si="208"/>
        <v>0</v>
      </c>
      <c r="K230" s="233">
        <f t="shared" si="203"/>
        <v>121.66</v>
      </c>
      <c r="L230" s="3">
        <v>1.1000000000000001</v>
      </c>
      <c r="M230" s="235">
        <f t="shared" si="209"/>
        <v>3.3000000000000003</v>
      </c>
      <c r="N230" s="4">
        <f t="shared" si="210"/>
        <v>401.47800000000001</v>
      </c>
      <c r="O230" s="52">
        <f t="shared" si="211"/>
        <v>401.47800000000001</v>
      </c>
      <c r="P230" s="236"/>
    </row>
    <row r="231" spans="1:16" s="237" customFormat="1" ht="43.2" x14ac:dyDescent="0.3">
      <c r="A231" s="256">
        <v>8</v>
      </c>
      <c r="B231" s="248"/>
      <c r="C231" s="231"/>
      <c r="D231" s="243" t="s">
        <v>163</v>
      </c>
      <c r="E231" s="72">
        <v>3</v>
      </c>
      <c r="F231" s="1">
        <v>0</v>
      </c>
      <c r="G231" s="78">
        <f t="shared" si="207"/>
        <v>3</v>
      </c>
      <c r="H231" s="5" t="s">
        <v>11</v>
      </c>
      <c r="I231" s="285"/>
      <c r="J231" s="234">
        <f t="shared" si="208"/>
        <v>0</v>
      </c>
      <c r="K231" s="233">
        <f t="shared" si="203"/>
        <v>121.66</v>
      </c>
      <c r="L231" s="3">
        <v>1.3</v>
      </c>
      <c r="M231" s="235">
        <f t="shared" si="209"/>
        <v>3.9000000000000004</v>
      </c>
      <c r="N231" s="4">
        <f t="shared" si="210"/>
        <v>474.47400000000005</v>
      </c>
      <c r="O231" s="52">
        <f t="shared" si="211"/>
        <v>474.47400000000005</v>
      </c>
      <c r="P231" s="236"/>
    </row>
    <row r="232" spans="1:16" s="237" customFormat="1" ht="43.2" x14ac:dyDescent="0.3">
      <c r="A232" s="256">
        <v>9</v>
      </c>
      <c r="B232" s="248"/>
      <c r="C232" s="257"/>
      <c r="D232" s="251" t="s">
        <v>164</v>
      </c>
      <c r="E232" s="72">
        <v>2</v>
      </c>
      <c r="F232" s="1">
        <v>0</v>
      </c>
      <c r="G232" s="78">
        <f t="shared" si="207"/>
        <v>2</v>
      </c>
      <c r="H232" s="5" t="s">
        <v>11</v>
      </c>
      <c r="I232" s="285"/>
      <c r="J232" s="234">
        <f t="shared" si="208"/>
        <v>0</v>
      </c>
      <c r="K232" s="233">
        <f t="shared" si="203"/>
        <v>121.66</v>
      </c>
      <c r="L232" s="3">
        <v>0.8</v>
      </c>
      <c r="M232" s="235">
        <f t="shared" si="209"/>
        <v>1.6</v>
      </c>
      <c r="N232" s="4">
        <f t="shared" si="210"/>
        <v>194.65600000000001</v>
      </c>
      <c r="O232" s="52">
        <f t="shared" si="211"/>
        <v>194.65600000000001</v>
      </c>
      <c r="P232" s="236"/>
    </row>
    <row r="233" spans="1:16" s="237" customFormat="1" ht="43.2" x14ac:dyDescent="0.3">
      <c r="A233" s="256">
        <v>10</v>
      </c>
      <c r="B233" s="248"/>
      <c r="C233" s="231"/>
      <c r="D233" s="243" t="s">
        <v>166</v>
      </c>
      <c r="E233" s="72">
        <v>8</v>
      </c>
      <c r="F233" s="1">
        <v>0</v>
      </c>
      <c r="G233" s="78">
        <f t="shared" si="207"/>
        <v>8</v>
      </c>
      <c r="H233" s="5" t="s">
        <v>11</v>
      </c>
      <c r="I233" s="285"/>
      <c r="J233" s="234">
        <f t="shared" si="208"/>
        <v>0</v>
      </c>
      <c r="K233" s="233">
        <f t="shared" si="203"/>
        <v>121.66</v>
      </c>
      <c r="L233" s="3">
        <v>0.8</v>
      </c>
      <c r="M233" s="235">
        <f t="shared" si="209"/>
        <v>6.4</v>
      </c>
      <c r="N233" s="4">
        <f t="shared" si="210"/>
        <v>778.62400000000002</v>
      </c>
      <c r="O233" s="52">
        <f t="shared" si="211"/>
        <v>778.62400000000002</v>
      </c>
      <c r="P233" s="236"/>
    </row>
    <row r="234" spans="1:16" s="237" customFormat="1" ht="43.2" x14ac:dyDescent="0.3">
      <c r="A234" s="256">
        <v>11</v>
      </c>
      <c r="B234" s="248"/>
      <c r="C234" s="231"/>
      <c r="D234" s="243" t="s">
        <v>165</v>
      </c>
      <c r="E234" s="72">
        <v>2</v>
      </c>
      <c r="F234" s="1">
        <v>0</v>
      </c>
      <c r="G234" s="78">
        <f t="shared" si="201"/>
        <v>2</v>
      </c>
      <c r="H234" s="5" t="s">
        <v>11</v>
      </c>
      <c r="I234" s="285"/>
      <c r="J234" s="234">
        <f t="shared" si="202"/>
        <v>0</v>
      </c>
      <c r="K234" s="233">
        <f t="shared" si="203"/>
        <v>121.66</v>
      </c>
      <c r="L234" s="3">
        <v>0.8</v>
      </c>
      <c r="M234" s="235">
        <f t="shared" si="204"/>
        <v>1.6</v>
      </c>
      <c r="N234" s="4">
        <f t="shared" si="205"/>
        <v>194.65600000000001</v>
      </c>
      <c r="O234" s="52">
        <f t="shared" si="206"/>
        <v>194.65600000000001</v>
      </c>
      <c r="P234" s="236"/>
    </row>
    <row r="235" spans="1:16" s="237" customFormat="1" ht="43.2" x14ac:dyDescent="0.3">
      <c r="A235" s="256">
        <v>12</v>
      </c>
      <c r="B235" s="248"/>
      <c r="C235" s="231"/>
      <c r="D235" s="243" t="s">
        <v>202</v>
      </c>
      <c r="E235" s="72">
        <v>2</v>
      </c>
      <c r="F235" s="1">
        <v>0</v>
      </c>
      <c r="G235" s="78">
        <f t="shared" si="201"/>
        <v>2</v>
      </c>
      <c r="H235" s="5" t="s">
        <v>11</v>
      </c>
      <c r="I235" s="285"/>
      <c r="J235" s="234">
        <f t="shared" si="202"/>
        <v>0</v>
      </c>
      <c r="K235" s="233">
        <f t="shared" si="203"/>
        <v>121.66</v>
      </c>
      <c r="L235" s="3">
        <v>0.8</v>
      </c>
      <c r="M235" s="235">
        <f t="shared" si="204"/>
        <v>1.6</v>
      </c>
      <c r="N235" s="4">
        <f t="shared" si="205"/>
        <v>194.65600000000001</v>
      </c>
      <c r="O235" s="52">
        <f t="shared" si="206"/>
        <v>194.65600000000001</v>
      </c>
      <c r="P235" s="236"/>
    </row>
    <row r="236" spans="1:16" s="266" customFormat="1" ht="15" thickBot="1" x14ac:dyDescent="0.35">
      <c r="A236" s="258"/>
      <c r="B236" s="259"/>
      <c r="C236" s="259"/>
      <c r="D236" s="239"/>
      <c r="E236" s="260"/>
      <c r="F236" s="261"/>
      <c r="G236" s="182"/>
      <c r="H236" s="63"/>
      <c r="I236" s="262"/>
      <c r="J236" s="263"/>
      <c r="K236" s="262"/>
      <c r="L236" s="264"/>
      <c r="M236" s="264"/>
      <c r="N236" s="234"/>
      <c r="O236" s="51"/>
      <c r="P236" s="265"/>
    </row>
    <row r="237" spans="1:16" s="237" customFormat="1" ht="20.100000000000001" customHeight="1" thickBot="1" x14ac:dyDescent="0.35">
      <c r="A237" s="367" t="s">
        <v>94</v>
      </c>
      <c r="B237" s="368"/>
      <c r="C237" s="368"/>
      <c r="D237" s="369" t="s">
        <v>17</v>
      </c>
      <c r="E237" s="267"/>
      <c r="F237" s="1"/>
      <c r="G237" s="78"/>
      <c r="H237" s="2"/>
      <c r="I237" s="11"/>
      <c r="J237" s="187"/>
      <c r="K237" s="4"/>
      <c r="L237" s="3"/>
      <c r="M237" s="3"/>
      <c r="N237" s="4"/>
      <c r="O237" s="52"/>
      <c r="P237" s="265"/>
    </row>
    <row r="238" spans="1:16" s="237" customFormat="1" x14ac:dyDescent="0.3">
      <c r="A238" s="256">
        <v>1</v>
      </c>
      <c r="B238" s="248"/>
      <c r="C238" s="257"/>
      <c r="D238" s="251" t="s">
        <v>168</v>
      </c>
      <c r="E238" s="72">
        <v>3</v>
      </c>
      <c r="F238" s="1">
        <v>0</v>
      </c>
      <c r="G238" s="78">
        <f t="shared" ref="G238:G240" si="212">E238+(E238*F238)</f>
        <v>3</v>
      </c>
      <c r="H238" s="5" t="s">
        <v>11</v>
      </c>
      <c r="I238" s="4">
        <v>15.5</v>
      </c>
      <c r="J238" s="234">
        <f t="shared" ref="J238:J240" si="213">I238*G238</f>
        <v>46.5</v>
      </c>
      <c r="K238" s="233">
        <f t="shared" ref="K238:K241" si="214">$K$5</f>
        <v>121.66</v>
      </c>
      <c r="L238" s="3">
        <v>0.3</v>
      </c>
      <c r="M238" s="235">
        <f t="shared" ref="M238:M240" si="215">L238*G238</f>
        <v>0.89999999999999991</v>
      </c>
      <c r="N238" s="4">
        <f t="shared" ref="N238:N240" si="216">K238*M238</f>
        <v>109.49399999999999</v>
      </c>
      <c r="O238" s="52">
        <f t="shared" ref="O238:O240" si="217">J238+N238</f>
        <v>155.99399999999997</v>
      </c>
      <c r="P238" s="236"/>
    </row>
    <row r="239" spans="1:16" s="237" customFormat="1" x14ac:dyDescent="0.3">
      <c r="A239" s="256">
        <v>2</v>
      </c>
      <c r="B239" s="248"/>
      <c r="C239" s="231"/>
      <c r="D239" s="243" t="s">
        <v>198</v>
      </c>
      <c r="E239" s="72">
        <f>E224+E225+E226+E227+E228+E229+E230</f>
        <v>24</v>
      </c>
      <c r="F239" s="1">
        <v>0</v>
      </c>
      <c r="G239" s="78">
        <f t="shared" si="212"/>
        <v>24</v>
      </c>
      <c r="H239" s="5" t="s">
        <v>11</v>
      </c>
      <c r="I239" s="4">
        <v>4.5</v>
      </c>
      <c r="J239" s="234">
        <f t="shared" si="213"/>
        <v>108</v>
      </c>
      <c r="K239" s="233">
        <f t="shared" si="214"/>
        <v>121.66</v>
      </c>
      <c r="L239" s="3">
        <v>0.2</v>
      </c>
      <c r="M239" s="235">
        <f t="shared" si="215"/>
        <v>4.8000000000000007</v>
      </c>
      <c r="N239" s="4">
        <f t="shared" si="216"/>
        <v>583.96800000000007</v>
      </c>
      <c r="O239" s="52">
        <f t="shared" si="217"/>
        <v>691.96800000000007</v>
      </c>
      <c r="P239" s="236"/>
    </row>
    <row r="240" spans="1:16" s="237" customFormat="1" x14ac:dyDescent="0.3">
      <c r="A240" s="256">
        <v>3</v>
      </c>
      <c r="B240" s="248"/>
      <c r="C240" s="231"/>
      <c r="D240" s="243" t="s">
        <v>199</v>
      </c>
      <c r="E240" s="72">
        <f>E239*4*1.5</f>
        <v>144</v>
      </c>
      <c r="F240" s="1">
        <v>0</v>
      </c>
      <c r="G240" s="78">
        <f t="shared" si="212"/>
        <v>144</v>
      </c>
      <c r="H240" s="5" t="s">
        <v>11</v>
      </c>
      <c r="I240" s="4">
        <v>0.2</v>
      </c>
      <c r="J240" s="234">
        <f t="shared" si="213"/>
        <v>28.8</v>
      </c>
      <c r="K240" s="233">
        <f t="shared" si="214"/>
        <v>121.66</v>
      </c>
      <c r="L240" s="3">
        <v>0.01</v>
      </c>
      <c r="M240" s="235">
        <f t="shared" si="215"/>
        <v>1.44</v>
      </c>
      <c r="N240" s="4">
        <f t="shared" si="216"/>
        <v>175.19039999999998</v>
      </c>
      <c r="O240" s="52">
        <f t="shared" si="217"/>
        <v>203.99039999999999</v>
      </c>
      <c r="P240" s="236"/>
    </row>
    <row r="241" spans="1:16" s="237" customFormat="1" x14ac:dyDescent="0.3">
      <c r="A241" s="256">
        <v>4</v>
      </c>
      <c r="B241" s="248"/>
      <c r="C241" s="257"/>
      <c r="D241" s="251" t="s">
        <v>200</v>
      </c>
      <c r="E241" s="72">
        <f>E239*4</f>
        <v>96</v>
      </c>
      <c r="F241" s="1">
        <v>0</v>
      </c>
      <c r="G241" s="78">
        <f t="shared" ref="G241" si="218">E241+(E241*F241)</f>
        <v>96</v>
      </c>
      <c r="H241" s="5" t="s">
        <v>11</v>
      </c>
      <c r="I241" s="4">
        <v>1.37</v>
      </c>
      <c r="J241" s="234">
        <f t="shared" ref="J241" si="219">I241*G241</f>
        <v>131.52000000000001</v>
      </c>
      <c r="K241" s="233">
        <f t="shared" si="214"/>
        <v>121.66</v>
      </c>
      <c r="L241" s="3">
        <v>0.1</v>
      </c>
      <c r="M241" s="235">
        <f t="shared" ref="M241" si="220">L241*G241</f>
        <v>9.6000000000000014</v>
      </c>
      <c r="N241" s="4">
        <f t="shared" ref="N241" si="221">K241*M241</f>
        <v>1167.9360000000001</v>
      </c>
      <c r="O241" s="52">
        <f t="shared" ref="O241" si="222">J241+N241</f>
        <v>1299.4560000000001</v>
      </c>
      <c r="P241" s="236"/>
    </row>
    <row r="242" spans="1:16" s="30" customFormat="1" ht="15" thickBot="1" x14ac:dyDescent="0.35">
      <c r="A242" s="25"/>
      <c r="B242" s="50"/>
      <c r="C242" s="50"/>
      <c r="D242" s="65"/>
      <c r="E242" s="126"/>
      <c r="F242" s="64"/>
      <c r="G242" s="182"/>
      <c r="H242" s="63"/>
      <c r="I242" s="67"/>
      <c r="J242" s="189"/>
      <c r="K242" s="67"/>
      <c r="L242" s="68"/>
      <c r="M242" s="68"/>
      <c r="N242" s="188"/>
      <c r="O242" s="51"/>
      <c r="P242" s="70"/>
    </row>
    <row r="243" spans="1:16" s="30" customFormat="1" ht="30" customHeight="1" thickBot="1" x14ac:dyDescent="0.35">
      <c r="A243" s="25"/>
      <c r="B243" s="50"/>
      <c r="C243" s="76"/>
      <c r="D243" s="374" t="s">
        <v>42</v>
      </c>
      <c r="E243" s="375"/>
      <c r="F243" s="375"/>
      <c r="G243" s="375"/>
      <c r="H243" s="375"/>
      <c r="I243" s="375"/>
      <c r="J243" s="315"/>
      <c r="K243" s="75"/>
      <c r="L243" s="68"/>
      <c r="M243" s="68"/>
      <c r="N243" s="188"/>
      <c r="O243" s="52">
        <f>J243</f>
        <v>0</v>
      </c>
      <c r="P243" s="70"/>
    </row>
    <row r="244" spans="1:16" ht="15" thickBot="1" x14ac:dyDescent="0.35">
      <c r="A244" s="32"/>
      <c r="B244" s="40"/>
      <c r="C244" s="40"/>
      <c r="D244" s="65"/>
      <c r="E244" s="71"/>
      <c r="F244" s="1"/>
      <c r="G244" s="182"/>
      <c r="H244" s="22"/>
      <c r="I244" s="56"/>
      <c r="J244" s="187"/>
      <c r="K244" s="57"/>
      <c r="L244" s="58"/>
      <c r="M244" s="58"/>
      <c r="N244" s="4"/>
      <c r="O244" s="51"/>
      <c r="P244" s="95"/>
    </row>
    <row r="245" spans="1:16" s="90" customFormat="1" ht="16.2" thickBot="1" x14ac:dyDescent="0.35">
      <c r="A245" s="59"/>
      <c r="B245" s="60"/>
      <c r="C245" s="60"/>
      <c r="D245" s="88"/>
      <c r="E245" s="127"/>
      <c r="F245" s="61"/>
      <c r="G245" s="370" t="s">
        <v>37</v>
      </c>
      <c r="H245" s="371"/>
      <c r="I245" s="185">
        <f>SUM(J223:J244)</f>
        <v>314.82000000000005</v>
      </c>
      <c r="J245" s="372" t="s">
        <v>38</v>
      </c>
      <c r="K245" s="373"/>
      <c r="L245" s="194">
        <f>SUM(N223:N244)</f>
        <v>7328.7983999999997</v>
      </c>
      <c r="M245" s="116"/>
      <c r="N245" s="191"/>
      <c r="O245" s="77"/>
      <c r="P245" s="89">
        <f>SUM(O223:O244)</f>
        <v>7643.6183999999994</v>
      </c>
    </row>
    <row r="246" spans="1:16" ht="15" thickBot="1" x14ac:dyDescent="0.35">
      <c r="A246" s="32"/>
      <c r="B246" s="40"/>
      <c r="C246" s="40"/>
      <c r="D246" s="16"/>
      <c r="E246" s="125"/>
      <c r="F246" s="1"/>
      <c r="G246" s="78"/>
      <c r="H246" s="2"/>
      <c r="I246" s="11"/>
      <c r="J246" s="187"/>
      <c r="K246" s="4"/>
      <c r="L246" s="3"/>
      <c r="M246" s="3"/>
      <c r="N246" s="4"/>
      <c r="O246" s="52"/>
      <c r="P246" s="86"/>
    </row>
    <row r="247" spans="1:16" ht="30" customHeight="1" thickBot="1" x14ac:dyDescent="0.35">
      <c r="A247" s="322" t="s">
        <v>26</v>
      </c>
      <c r="B247" s="323"/>
      <c r="C247" s="323"/>
      <c r="D247" s="323"/>
      <c r="E247" s="323"/>
      <c r="F247" s="323"/>
      <c r="G247" s="323"/>
      <c r="H247" s="324"/>
      <c r="I247" s="20"/>
      <c r="J247" s="4"/>
      <c r="K247" s="4"/>
      <c r="L247" s="3"/>
      <c r="M247" s="3"/>
      <c r="N247" s="4"/>
      <c r="O247" s="52"/>
      <c r="P247" s="70"/>
    </row>
    <row r="248" spans="1:16" s="237" customFormat="1" x14ac:dyDescent="0.3">
      <c r="A248" s="228">
        <v>1</v>
      </c>
      <c r="B248" s="248"/>
      <c r="C248" s="231"/>
      <c r="D248" s="251" t="s">
        <v>169</v>
      </c>
      <c r="E248" s="72">
        <v>2</v>
      </c>
      <c r="F248" s="1">
        <v>0</v>
      </c>
      <c r="G248" s="78">
        <f t="shared" ref="G248:G272" si="223">E248+(E248*F248)</f>
        <v>2</v>
      </c>
      <c r="H248" s="5" t="s">
        <v>11</v>
      </c>
      <c r="I248" s="49"/>
      <c r="J248" s="234">
        <f t="shared" ref="J248:J272" si="224">I248*G248</f>
        <v>0</v>
      </c>
      <c r="K248" s="233">
        <f t="shared" ref="K248:K267" si="225">$K$5</f>
        <v>121.66</v>
      </c>
      <c r="L248" s="235">
        <v>0.2</v>
      </c>
      <c r="M248" s="235">
        <f t="shared" ref="M248:M272" si="226">L248*G248</f>
        <v>0.4</v>
      </c>
      <c r="N248" s="234">
        <f t="shared" ref="N248:N272" si="227">M248*K248</f>
        <v>48.664000000000001</v>
      </c>
      <c r="O248" s="52">
        <f t="shared" ref="O248:O272" si="228">J248+N248</f>
        <v>48.664000000000001</v>
      </c>
      <c r="P248" s="236"/>
    </row>
    <row r="249" spans="1:16" s="266" customFormat="1" x14ac:dyDescent="0.3">
      <c r="A249" s="228">
        <v>2</v>
      </c>
      <c r="B249" s="248"/>
      <c r="C249" s="231"/>
      <c r="D249" s="249" t="s">
        <v>170</v>
      </c>
      <c r="E249" s="232">
        <v>1</v>
      </c>
      <c r="F249" s="268">
        <v>0</v>
      </c>
      <c r="G249" s="78">
        <f t="shared" ref="G249:G266" si="229">E249+(E249*F249)</f>
        <v>1</v>
      </c>
      <c r="H249" s="5" t="s">
        <v>11</v>
      </c>
      <c r="I249" s="49"/>
      <c r="J249" s="234">
        <f t="shared" ref="J249:J266" si="230">I249*G249</f>
        <v>0</v>
      </c>
      <c r="K249" s="233">
        <f t="shared" si="225"/>
        <v>121.66</v>
      </c>
      <c r="L249" s="235">
        <v>0.2</v>
      </c>
      <c r="M249" s="235">
        <f t="shared" ref="M249:M266" si="231">L249*G249</f>
        <v>0.2</v>
      </c>
      <c r="N249" s="234">
        <f t="shared" ref="N249:N266" si="232">M249*K249</f>
        <v>24.332000000000001</v>
      </c>
      <c r="O249" s="52">
        <f t="shared" ref="O249:O266" si="233">J249+N249</f>
        <v>24.332000000000001</v>
      </c>
      <c r="P249" s="236"/>
    </row>
    <row r="250" spans="1:16" s="266" customFormat="1" ht="43.2" x14ac:dyDescent="0.3">
      <c r="A250" s="228">
        <v>3</v>
      </c>
      <c r="B250" s="248"/>
      <c r="C250" s="231"/>
      <c r="D250" s="249" t="s">
        <v>171</v>
      </c>
      <c r="E250" s="232">
        <v>12</v>
      </c>
      <c r="F250" s="268">
        <v>0</v>
      </c>
      <c r="G250" s="78">
        <f t="shared" si="229"/>
        <v>12</v>
      </c>
      <c r="H250" s="5" t="s">
        <v>11</v>
      </c>
      <c r="I250" s="49"/>
      <c r="J250" s="234">
        <f t="shared" si="230"/>
        <v>0</v>
      </c>
      <c r="K250" s="233">
        <f t="shared" si="225"/>
        <v>121.66</v>
      </c>
      <c r="L250" s="235">
        <v>0.3</v>
      </c>
      <c r="M250" s="235">
        <f t="shared" si="231"/>
        <v>3.5999999999999996</v>
      </c>
      <c r="N250" s="234">
        <f t="shared" si="232"/>
        <v>437.97599999999994</v>
      </c>
      <c r="O250" s="52">
        <f t="shared" si="233"/>
        <v>437.97599999999994</v>
      </c>
      <c r="P250" s="236"/>
    </row>
    <row r="251" spans="1:16" x14ac:dyDescent="0.3">
      <c r="A251" s="32"/>
      <c r="B251" s="131"/>
      <c r="C251" s="275"/>
      <c r="D251" s="276" t="s">
        <v>268</v>
      </c>
      <c r="E251" s="125">
        <f>E250</f>
        <v>12</v>
      </c>
      <c r="F251" s="277">
        <v>0</v>
      </c>
      <c r="G251" s="278">
        <f t="shared" si="229"/>
        <v>12</v>
      </c>
      <c r="H251" s="174" t="s">
        <v>11</v>
      </c>
      <c r="I251" s="279">
        <v>3.77</v>
      </c>
      <c r="J251" s="280">
        <f t="shared" si="230"/>
        <v>45.24</v>
      </c>
      <c r="K251" s="281">
        <f>$K$5</f>
        <v>121.66</v>
      </c>
      <c r="L251" s="282">
        <v>0.4</v>
      </c>
      <c r="M251" s="283">
        <f t="shared" si="231"/>
        <v>4.8000000000000007</v>
      </c>
      <c r="N251" s="280">
        <f t="shared" si="232"/>
        <v>583.96800000000007</v>
      </c>
      <c r="O251" s="284">
        <f t="shared" si="233"/>
        <v>629.20800000000008</v>
      </c>
      <c r="P251" s="86"/>
    </row>
    <row r="252" spans="1:16" x14ac:dyDescent="0.3">
      <c r="A252" s="32"/>
      <c r="B252" s="131"/>
      <c r="C252" s="275"/>
      <c r="D252" s="276" t="s">
        <v>269</v>
      </c>
      <c r="E252" s="125">
        <f>E250</f>
        <v>12</v>
      </c>
      <c r="F252" s="277">
        <v>0</v>
      </c>
      <c r="G252" s="278">
        <f t="shared" si="229"/>
        <v>12</v>
      </c>
      <c r="H252" s="174" t="s">
        <v>11</v>
      </c>
      <c r="I252" s="279">
        <v>2.31</v>
      </c>
      <c r="J252" s="280">
        <f t="shared" si="230"/>
        <v>27.72</v>
      </c>
      <c r="K252" s="281">
        <f>$K$5</f>
        <v>121.66</v>
      </c>
      <c r="L252" s="282">
        <v>2.0000000000000004E-2</v>
      </c>
      <c r="M252" s="283">
        <f t="shared" si="231"/>
        <v>0.24000000000000005</v>
      </c>
      <c r="N252" s="280">
        <f t="shared" si="232"/>
        <v>29.198400000000007</v>
      </c>
      <c r="O252" s="284">
        <f t="shared" si="233"/>
        <v>56.918400000000005</v>
      </c>
      <c r="P252" s="86"/>
    </row>
    <row r="253" spans="1:16" x14ac:dyDescent="0.3">
      <c r="A253" s="32"/>
      <c r="B253" s="131"/>
      <c r="C253" s="275"/>
      <c r="D253" s="276" t="s">
        <v>270</v>
      </c>
      <c r="E253" s="125">
        <f>E250</f>
        <v>12</v>
      </c>
      <c r="F253" s="277">
        <v>0</v>
      </c>
      <c r="G253" s="278">
        <f t="shared" si="229"/>
        <v>12</v>
      </c>
      <c r="H253" s="174" t="s">
        <v>11</v>
      </c>
      <c r="I253" s="279">
        <v>0.87</v>
      </c>
      <c r="J253" s="280">
        <f t="shared" si="230"/>
        <v>10.44</v>
      </c>
      <c r="K253" s="281">
        <f>$K$5</f>
        <v>121.66</v>
      </c>
      <c r="L253" s="282">
        <v>2.4E-2</v>
      </c>
      <c r="M253" s="283">
        <f t="shared" si="231"/>
        <v>0.28800000000000003</v>
      </c>
      <c r="N253" s="280">
        <f t="shared" si="232"/>
        <v>35.038080000000001</v>
      </c>
      <c r="O253" s="284">
        <f t="shared" si="233"/>
        <v>45.478079999999999</v>
      </c>
      <c r="P253" s="86"/>
    </row>
    <row r="254" spans="1:16" x14ac:dyDescent="0.3">
      <c r="A254" s="32"/>
      <c r="B254" s="131"/>
      <c r="C254" s="275"/>
      <c r="D254" s="276" t="s">
        <v>271</v>
      </c>
      <c r="E254" s="125">
        <f>E250*2</f>
        <v>24</v>
      </c>
      <c r="F254" s="277">
        <v>0</v>
      </c>
      <c r="G254" s="278">
        <f t="shared" si="229"/>
        <v>24</v>
      </c>
      <c r="H254" s="174" t="s">
        <v>11</v>
      </c>
      <c r="I254" s="279">
        <v>5.7700000000000001E-2</v>
      </c>
      <c r="J254" s="280">
        <f t="shared" si="230"/>
        <v>1.3848</v>
      </c>
      <c r="K254" s="281">
        <f>$K$5</f>
        <v>121.66</v>
      </c>
      <c r="L254" s="282">
        <v>2.24E-2</v>
      </c>
      <c r="M254" s="283">
        <f t="shared" si="231"/>
        <v>0.53759999999999997</v>
      </c>
      <c r="N254" s="280">
        <f t="shared" si="232"/>
        <v>65.404415999999998</v>
      </c>
      <c r="O254" s="284">
        <f t="shared" si="233"/>
        <v>66.789215999999996</v>
      </c>
      <c r="P254" s="86"/>
    </row>
    <row r="255" spans="1:16" s="266" customFormat="1" ht="43.2" x14ac:dyDescent="0.3">
      <c r="A255" s="228">
        <v>4</v>
      </c>
      <c r="B255" s="248"/>
      <c r="C255" s="231"/>
      <c r="D255" s="249" t="s">
        <v>172</v>
      </c>
      <c r="E255" s="232">
        <v>8</v>
      </c>
      <c r="F255" s="268">
        <v>0</v>
      </c>
      <c r="G255" s="78">
        <f t="shared" si="229"/>
        <v>8</v>
      </c>
      <c r="H255" s="5" t="s">
        <v>11</v>
      </c>
      <c r="I255" s="49"/>
      <c r="J255" s="234">
        <f t="shared" si="230"/>
        <v>0</v>
      </c>
      <c r="K255" s="233">
        <f t="shared" si="225"/>
        <v>121.66</v>
      </c>
      <c r="L255" s="235">
        <v>0.15</v>
      </c>
      <c r="M255" s="235">
        <f t="shared" si="231"/>
        <v>1.2</v>
      </c>
      <c r="N255" s="234">
        <f t="shared" si="232"/>
        <v>145.99199999999999</v>
      </c>
      <c r="O255" s="52">
        <f t="shared" si="233"/>
        <v>145.99199999999999</v>
      </c>
      <c r="P255" s="236"/>
    </row>
    <row r="256" spans="1:16" x14ac:dyDescent="0.3">
      <c r="A256" s="32"/>
      <c r="B256" s="131"/>
      <c r="C256" s="275"/>
      <c r="D256" s="276" t="s">
        <v>268</v>
      </c>
      <c r="E256" s="125">
        <f>E255</f>
        <v>8</v>
      </c>
      <c r="F256" s="277">
        <v>0</v>
      </c>
      <c r="G256" s="278">
        <f t="shared" ref="G256:G260" si="234">E256+(E256*F256)</f>
        <v>8</v>
      </c>
      <c r="H256" s="174" t="s">
        <v>11</v>
      </c>
      <c r="I256" s="279">
        <v>3.77</v>
      </c>
      <c r="J256" s="280">
        <f t="shared" ref="J256:J260" si="235">I256*G256</f>
        <v>30.16</v>
      </c>
      <c r="K256" s="281">
        <f>$K$5</f>
        <v>121.66</v>
      </c>
      <c r="L256" s="282">
        <v>0.4</v>
      </c>
      <c r="M256" s="283">
        <f t="shared" ref="M256:M260" si="236">L256*G256</f>
        <v>3.2</v>
      </c>
      <c r="N256" s="280">
        <f t="shared" ref="N256:N260" si="237">M256*K256</f>
        <v>389.31200000000001</v>
      </c>
      <c r="O256" s="284">
        <f t="shared" ref="O256:O260" si="238">J256+N256</f>
        <v>419.47200000000004</v>
      </c>
      <c r="P256" s="86"/>
    </row>
    <row r="257" spans="1:16" x14ac:dyDescent="0.3">
      <c r="A257" s="32"/>
      <c r="B257" s="131"/>
      <c r="C257" s="275"/>
      <c r="D257" s="276" t="s">
        <v>269</v>
      </c>
      <c r="E257" s="125">
        <f>E255</f>
        <v>8</v>
      </c>
      <c r="F257" s="277">
        <v>0</v>
      </c>
      <c r="G257" s="278">
        <f t="shared" si="234"/>
        <v>8</v>
      </c>
      <c r="H257" s="174" t="s">
        <v>11</v>
      </c>
      <c r="I257" s="279">
        <v>2.31</v>
      </c>
      <c r="J257" s="280">
        <f t="shared" si="235"/>
        <v>18.48</v>
      </c>
      <c r="K257" s="281">
        <f>$K$5</f>
        <v>121.66</v>
      </c>
      <c r="L257" s="282">
        <v>2.0000000000000004E-2</v>
      </c>
      <c r="M257" s="283">
        <f t="shared" si="236"/>
        <v>0.16000000000000003</v>
      </c>
      <c r="N257" s="280">
        <f t="shared" si="237"/>
        <v>19.465600000000002</v>
      </c>
      <c r="O257" s="284">
        <f t="shared" si="238"/>
        <v>37.945599999999999</v>
      </c>
      <c r="P257" s="86"/>
    </row>
    <row r="258" spans="1:16" x14ac:dyDescent="0.3">
      <c r="A258" s="32"/>
      <c r="B258" s="131"/>
      <c r="C258" s="275"/>
      <c r="D258" s="276" t="s">
        <v>270</v>
      </c>
      <c r="E258" s="125">
        <f>E255</f>
        <v>8</v>
      </c>
      <c r="F258" s="277">
        <v>0</v>
      </c>
      <c r="G258" s="278">
        <f t="shared" si="234"/>
        <v>8</v>
      </c>
      <c r="H258" s="174" t="s">
        <v>11</v>
      </c>
      <c r="I258" s="279">
        <v>0.87</v>
      </c>
      <c r="J258" s="280">
        <f t="shared" si="235"/>
        <v>6.96</v>
      </c>
      <c r="K258" s="281">
        <f>$K$5</f>
        <v>121.66</v>
      </c>
      <c r="L258" s="282">
        <v>2.4E-2</v>
      </c>
      <c r="M258" s="283">
        <f t="shared" si="236"/>
        <v>0.192</v>
      </c>
      <c r="N258" s="280">
        <f t="shared" si="237"/>
        <v>23.358719999999998</v>
      </c>
      <c r="O258" s="284">
        <f t="shared" si="238"/>
        <v>30.318719999999999</v>
      </c>
      <c r="P258" s="86"/>
    </row>
    <row r="259" spans="1:16" x14ac:dyDescent="0.3">
      <c r="A259" s="32"/>
      <c r="B259" s="131"/>
      <c r="C259" s="275"/>
      <c r="D259" s="276" t="s">
        <v>271</v>
      </c>
      <c r="E259" s="125">
        <f>E255*2</f>
        <v>16</v>
      </c>
      <c r="F259" s="277">
        <v>0</v>
      </c>
      <c r="G259" s="278">
        <f t="shared" si="234"/>
        <v>16</v>
      </c>
      <c r="H259" s="174" t="s">
        <v>11</v>
      </c>
      <c r="I259" s="279">
        <v>5.7700000000000001E-2</v>
      </c>
      <c r="J259" s="280">
        <f t="shared" si="235"/>
        <v>0.92320000000000002</v>
      </c>
      <c r="K259" s="281">
        <f>$K$5</f>
        <v>121.66</v>
      </c>
      <c r="L259" s="282">
        <v>2.24E-2</v>
      </c>
      <c r="M259" s="283">
        <f t="shared" si="236"/>
        <v>0.3584</v>
      </c>
      <c r="N259" s="280">
        <f t="shared" si="237"/>
        <v>43.602944000000001</v>
      </c>
      <c r="O259" s="284">
        <f t="shared" si="238"/>
        <v>44.526144000000002</v>
      </c>
      <c r="P259" s="86"/>
    </row>
    <row r="260" spans="1:16" x14ac:dyDescent="0.3">
      <c r="A260" s="32"/>
      <c r="B260" s="131"/>
      <c r="C260" s="275"/>
      <c r="D260" s="7" t="s">
        <v>273</v>
      </c>
      <c r="E260" s="125">
        <f>E255</f>
        <v>8</v>
      </c>
      <c r="F260" s="277">
        <v>0</v>
      </c>
      <c r="G260" s="278">
        <f t="shared" si="234"/>
        <v>8</v>
      </c>
      <c r="H260" s="174" t="s">
        <v>11</v>
      </c>
      <c r="I260" s="279">
        <v>9.84</v>
      </c>
      <c r="J260" s="280">
        <f t="shared" si="235"/>
        <v>78.72</v>
      </c>
      <c r="K260" s="281">
        <f>$K$5</f>
        <v>121.66</v>
      </c>
      <c r="L260" s="282">
        <v>0.04</v>
      </c>
      <c r="M260" s="283">
        <f t="shared" si="236"/>
        <v>0.32</v>
      </c>
      <c r="N260" s="280">
        <f t="shared" si="237"/>
        <v>38.931199999999997</v>
      </c>
      <c r="O260" s="284">
        <f t="shared" si="238"/>
        <v>117.65119999999999</v>
      </c>
      <c r="P260" s="86"/>
    </row>
    <row r="261" spans="1:16" s="266" customFormat="1" ht="43.2" x14ac:dyDescent="0.3">
      <c r="A261" s="228">
        <v>5</v>
      </c>
      <c r="B261" s="248"/>
      <c r="C261" s="231"/>
      <c r="D261" s="249" t="s">
        <v>173</v>
      </c>
      <c r="E261" s="232">
        <v>2</v>
      </c>
      <c r="F261" s="268">
        <v>0</v>
      </c>
      <c r="G261" s="78">
        <f t="shared" si="229"/>
        <v>2</v>
      </c>
      <c r="H261" s="5" t="s">
        <v>11</v>
      </c>
      <c r="I261" s="49"/>
      <c r="J261" s="234">
        <f t="shared" si="230"/>
        <v>0</v>
      </c>
      <c r="K261" s="233">
        <f t="shared" si="225"/>
        <v>121.66</v>
      </c>
      <c r="L261" s="235">
        <v>0.2</v>
      </c>
      <c r="M261" s="235">
        <f t="shared" si="231"/>
        <v>0.4</v>
      </c>
      <c r="N261" s="234">
        <f t="shared" si="232"/>
        <v>48.664000000000001</v>
      </c>
      <c r="O261" s="52">
        <f t="shared" si="233"/>
        <v>48.664000000000001</v>
      </c>
      <c r="P261" s="236"/>
    </row>
    <row r="262" spans="1:16" x14ac:dyDescent="0.3">
      <c r="A262" s="32"/>
      <c r="B262" s="131"/>
      <c r="C262" s="275"/>
      <c r="D262" s="276" t="s">
        <v>268</v>
      </c>
      <c r="E262" s="125">
        <f>E261</f>
        <v>2</v>
      </c>
      <c r="F262" s="277">
        <v>0</v>
      </c>
      <c r="G262" s="278">
        <f t="shared" si="229"/>
        <v>2</v>
      </c>
      <c r="H262" s="174" t="s">
        <v>11</v>
      </c>
      <c r="I262" s="279">
        <v>3.77</v>
      </c>
      <c r="J262" s="280">
        <f t="shared" si="230"/>
        <v>7.54</v>
      </c>
      <c r="K262" s="281">
        <f>$K$5</f>
        <v>121.66</v>
      </c>
      <c r="L262" s="282">
        <v>0.4</v>
      </c>
      <c r="M262" s="283">
        <f t="shared" si="231"/>
        <v>0.8</v>
      </c>
      <c r="N262" s="280">
        <f t="shared" si="232"/>
        <v>97.328000000000003</v>
      </c>
      <c r="O262" s="284">
        <f t="shared" si="233"/>
        <v>104.86800000000001</v>
      </c>
      <c r="P262" s="86"/>
    </row>
    <row r="263" spans="1:16" x14ac:dyDescent="0.3">
      <c r="A263" s="32"/>
      <c r="B263" s="131"/>
      <c r="C263" s="275"/>
      <c r="D263" s="276" t="s">
        <v>269</v>
      </c>
      <c r="E263" s="125">
        <f>E261</f>
        <v>2</v>
      </c>
      <c r="F263" s="277">
        <v>0</v>
      </c>
      <c r="G263" s="278">
        <f t="shared" si="229"/>
        <v>2</v>
      </c>
      <c r="H263" s="174" t="s">
        <v>11</v>
      </c>
      <c r="I263" s="279">
        <v>2.31</v>
      </c>
      <c r="J263" s="280">
        <f t="shared" si="230"/>
        <v>4.62</v>
      </c>
      <c r="K263" s="281">
        <f>$K$5</f>
        <v>121.66</v>
      </c>
      <c r="L263" s="282">
        <v>2.0000000000000004E-2</v>
      </c>
      <c r="M263" s="283">
        <f t="shared" si="231"/>
        <v>4.0000000000000008E-2</v>
      </c>
      <c r="N263" s="280">
        <f t="shared" si="232"/>
        <v>4.8664000000000005</v>
      </c>
      <c r="O263" s="284">
        <f t="shared" si="233"/>
        <v>9.4863999999999997</v>
      </c>
      <c r="P263" s="86"/>
    </row>
    <row r="264" spans="1:16" x14ac:dyDescent="0.3">
      <c r="A264" s="32"/>
      <c r="B264" s="131"/>
      <c r="C264" s="275"/>
      <c r="D264" s="276" t="s">
        <v>270</v>
      </c>
      <c r="E264" s="125">
        <f>E261</f>
        <v>2</v>
      </c>
      <c r="F264" s="277">
        <v>0</v>
      </c>
      <c r="G264" s="278">
        <f t="shared" si="229"/>
        <v>2</v>
      </c>
      <c r="H264" s="174" t="s">
        <v>11</v>
      </c>
      <c r="I264" s="279">
        <v>0.87</v>
      </c>
      <c r="J264" s="280">
        <f t="shared" si="230"/>
        <v>1.74</v>
      </c>
      <c r="K264" s="281">
        <f>$K$5</f>
        <v>121.66</v>
      </c>
      <c r="L264" s="282">
        <v>2.4E-2</v>
      </c>
      <c r="M264" s="283">
        <f t="shared" si="231"/>
        <v>4.8000000000000001E-2</v>
      </c>
      <c r="N264" s="280">
        <f t="shared" si="232"/>
        <v>5.8396799999999995</v>
      </c>
      <c r="O264" s="284">
        <f t="shared" si="233"/>
        <v>7.5796799999999998</v>
      </c>
      <c r="P264" s="86"/>
    </row>
    <row r="265" spans="1:16" x14ac:dyDescent="0.3">
      <c r="A265" s="32"/>
      <c r="B265" s="131"/>
      <c r="C265" s="275"/>
      <c r="D265" s="276" t="s">
        <v>271</v>
      </c>
      <c r="E265" s="125">
        <f>E261*2</f>
        <v>4</v>
      </c>
      <c r="F265" s="277">
        <v>0</v>
      </c>
      <c r="G265" s="278">
        <f t="shared" si="229"/>
        <v>4</v>
      </c>
      <c r="H265" s="174" t="s">
        <v>11</v>
      </c>
      <c r="I265" s="279">
        <v>5.7700000000000001E-2</v>
      </c>
      <c r="J265" s="280">
        <f t="shared" si="230"/>
        <v>0.23080000000000001</v>
      </c>
      <c r="K265" s="281">
        <f>$K$5</f>
        <v>121.66</v>
      </c>
      <c r="L265" s="282">
        <v>2.24E-2</v>
      </c>
      <c r="M265" s="283">
        <f t="shared" si="231"/>
        <v>8.9599999999999999E-2</v>
      </c>
      <c r="N265" s="280">
        <f t="shared" si="232"/>
        <v>10.900736</v>
      </c>
      <c r="O265" s="284">
        <f t="shared" si="233"/>
        <v>11.131536000000001</v>
      </c>
      <c r="P265" s="86"/>
    </row>
    <row r="266" spans="1:16" x14ac:dyDescent="0.3">
      <c r="A266" s="32"/>
      <c r="B266" s="131"/>
      <c r="C266" s="275"/>
      <c r="D266" s="7" t="s">
        <v>273</v>
      </c>
      <c r="E266" s="125">
        <f>E261</f>
        <v>2</v>
      </c>
      <c r="F266" s="277">
        <v>0</v>
      </c>
      <c r="G266" s="278">
        <f t="shared" si="229"/>
        <v>2</v>
      </c>
      <c r="H266" s="174" t="s">
        <v>11</v>
      </c>
      <c r="I266" s="279">
        <v>9.84</v>
      </c>
      <c r="J266" s="280">
        <f t="shared" si="230"/>
        <v>19.68</v>
      </c>
      <c r="K266" s="281">
        <f>$K$5</f>
        <v>121.66</v>
      </c>
      <c r="L266" s="282">
        <v>0.04</v>
      </c>
      <c r="M266" s="283">
        <f t="shared" si="231"/>
        <v>0.08</v>
      </c>
      <c r="N266" s="280">
        <f t="shared" si="232"/>
        <v>9.7327999999999992</v>
      </c>
      <c r="O266" s="284">
        <f t="shared" si="233"/>
        <v>29.412799999999997</v>
      </c>
      <c r="P266" s="86"/>
    </row>
    <row r="267" spans="1:16" s="266" customFormat="1" ht="43.2" x14ac:dyDescent="0.3">
      <c r="A267" s="228">
        <v>6</v>
      </c>
      <c r="B267" s="248"/>
      <c r="C267" s="231"/>
      <c r="D267" s="249" t="s">
        <v>174</v>
      </c>
      <c r="E267" s="232">
        <v>1</v>
      </c>
      <c r="F267" s="268">
        <v>0</v>
      </c>
      <c r="G267" s="78">
        <f t="shared" si="223"/>
        <v>1</v>
      </c>
      <c r="H267" s="5" t="s">
        <v>11</v>
      </c>
      <c r="I267" s="49"/>
      <c r="J267" s="234">
        <f t="shared" si="224"/>
        <v>0</v>
      </c>
      <c r="K267" s="233">
        <f t="shared" si="225"/>
        <v>121.66</v>
      </c>
      <c r="L267" s="235">
        <v>0.25</v>
      </c>
      <c r="M267" s="235">
        <f t="shared" si="226"/>
        <v>0.25</v>
      </c>
      <c r="N267" s="234">
        <f t="shared" si="227"/>
        <v>30.414999999999999</v>
      </c>
      <c r="O267" s="52">
        <f t="shared" si="228"/>
        <v>30.414999999999999</v>
      </c>
      <c r="P267" s="236"/>
    </row>
    <row r="268" spans="1:16" x14ac:dyDescent="0.3">
      <c r="A268" s="32"/>
      <c r="B268" s="131"/>
      <c r="C268" s="275"/>
      <c r="D268" s="276" t="s">
        <v>268</v>
      </c>
      <c r="E268" s="125">
        <f>E267</f>
        <v>1</v>
      </c>
      <c r="F268" s="277">
        <v>0</v>
      </c>
      <c r="G268" s="278">
        <f t="shared" si="223"/>
        <v>1</v>
      </c>
      <c r="H268" s="174" t="s">
        <v>11</v>
      </c>
      <c r="I268" s="279">
        <v>3.77</v>
      </c>
      <c r="J268" s="280">
        <f t="shared" si="224"/>
        <v>3.77</v>
      </c>
      <c r="K268" s="281">
        <f>$K$5</f>
        <v>121.66</v>
      </c>
      <c r="L268" s="282">
        <v>0.4</v>
      </c>
      <c r="M268" s="283">
        <f t="shared" si="226"/>
        <v>0.4</v>
      </c>
      <c r="N268" s="280">
        <f t="shared" si="227"/>
        <v>48.664000000000001</v>
      </c>
      <c r="O268" s="284">
        <f t="shared" si="228"/>
        <v>52.434000000000005</v>
      </c>
      <c r="P268" s="86"/>
    </row>
    <row r="269" spans="1:16" x14ac:dyDescent="0.3">
      <c r="A269" s="32"/>
      <c r="B269" s="131"/>
      <c r="C269" s="275"/>
      <c r="D269" s="276" t="s">
        <v>269</v>
      </c>
      <c r="E269" s="125">
        <f>E267</f>
        <v>1</v>
      </c>
      <c r="F269" s="277">
        <v>0</v>
      </c>
      <c r="G269" s="278">
        <f t="shared" si="223"/>
        <v>1</v>
      </c>
      <c r="H269" s="174" t="s">
        <v>11</v>
      </c>
      <c r="I269" s="279">
        <v>2.31</v>
      </c>
      <c r="J269" s="280">
        <f t="shared" si="224"/>
        <v>2.31</v>
      </c>
      <c r="K269" s="281">
        <f>$K$5</f>
        <v>121.66</v>
      </c>
      <c r="L269" s="282">
        <v>2.0000000000000004E-2</v>
      </c>
      <c r="M269" s="283">
        <f t="shared" si="226"/>
        <v>2.0000000000000004E-2</v>
      </c>
      <c r="N269" s="280">
        <f t="shared" si="227"/>
        <v>2.4332000000000003</v>
      </c>
      <c r="O269" s="284">
        <f t="shared" si="228"/>
        <v>4.7431999999999999</v>
      </c>
      <c r="P269" s="86"/>
    </row>
    <row r="270" spans="1:16" x14ac:dyDescent="0.3">
      <c r="A270" s="32"/>
      <c r="B270" s="131"/>
      <c r="C270" s="275"/>
      <c r="D270" s="276" t="s">
        <v>270</v>
      </c>
      <c r="E270" s="125">
        <f>E267</f>
        <v>1</v>
      </c>
      <c r="F270" s="277">
        <v>0</v>
      </c>
      <c r="G270" s="278">
        <f t="shared" si="223"/>
        <v>1</v>
      </c>
      <c r="H270" s="174" t="s">
        <v>11</v>
      </c>
      <c r="I270" s="279">
        <v>0.87</v>
      </c>
      <c r="J270" s="280">
        <f t="shared" si="224"/>
        <v>0.87</v>
      </c>
      <c r="K270" s="281">
        <f>$K$5</f>
        <v>121.66</v>
      </c>
      <c r="L270" s="282">
        <v>2.4E-2</v>
      </c>
      <c r="M270" s="283">
        <f t="shared" si="226"/>
        <v>2.4E-2</v>
      </c>
      <c r="N270" s="280">
        <f t="shared" si="227"/>
        <v>2.9198399999999998</v>
      </c>
      <c r="O270" s="284">
        <f t="shared" si="228"/>
        <v>3.7898399999999999</v>
      </c>
      <c r="P270" s="86"/>
    </row>
    <row r="271" spans="1:16" x14ac:dyDescent="0.3">
      <c r="A271" s="32"/>
      <c r="B271" s="131"/>
      <c r="C271" s="275"/>
      <c r="D271" s="276" t="s">
        <v>271</v>
      </c>
      <c r="E271" s="125">
        <f>E267*2</f>
        <v>2</v>
      </c>
      <c r="F271" s="277">
        <v>0</v>
      </c>
      <c r="G271" s="278">
        <f t="shared" si="223"/>
        <v>2</v>
      </c>
      <c r="H271" s="174" t="s">
        <v>11</v>
      </c>
      <c r="I271" s="279">
        <v>5.7700000000000001E-2</v>
      </c>
      <c r="J271" s="280">
        <f t="shared" si="224"/>
        <v>0.1154</v>
      </c>
      <c r="K271" s="281">
        <f>$K$5</f>
        <v>121.66</v>
      </c>
      <c r="L271" s="282">
        <v>2.24E-2</v>
      </c>
      <c r="M271" s="283">
        <f t="shared" si="226"/>
        <v>4.48E-2</v>
      </c>
      <c r="N271" s="280">
        <f t="shared" si="227"/>
        <v>5.4503680000000001</v>
      </c>
      <c r="O271" s="284">
        <f t="shared" si="228"/>
        <v>5.5657680000000003</v>
      </c>
      <c r="P271" s="86"/>
    </row>
    <row r="272" spans="1:16" x14ac:dyDescent="0.3">
      <c r="A272" s="32"/>
      <c r="B272" s="131"/>
      <c r="C272" s="275"/>
      <c r="D272" s="7" t="s">
        <v>273</v>
      </c>
      <c r="E272" s="125">
        <f>E267</f>
        <v>1</v>
      </c>
      <c r="F272" s="277">
        <v>0</v>
      </c>
      <c r="G272" s="278">
        <f t="shared" si="223"/>
        <v>1</v>
      </c>
      <c r="H272" s="174" t="s">
        <v>11</v>
      </c>
      <c r="I272" s="279">
        <v>9.84</v>
      </c>
      <c r="J272" s="280">
        <f t="shared" si="224"/>
        <v>9.84</v>
      </c>
      <c r="K272" s="281">
        <f>$K$5</f>
        <v>121.66</v>
      </c>
      <c r="L272" s="282">
        <v>0.04</v>
      </c>
      <c r="M272" s="283">
        <f t="shared" si="226"/>
        <v>0.04</v>
      </c>
      <c r="N272" s="280">
        <f t="shared" si="227"/>
        <v>4.8663999999999996</v>
      </c>
      <c r="O272" s="284">
        <f t="shared" si="228"/>
        <v>14.706399999999999</v>
      </c>
      <c r="P272" s="86"/>
    </row>
    <row r="273" spans="1:16" s="30" customFormat="1" ht="15" thickBot="1" x14ac:dyDescent="0.35">
      <c r="A273" s="25"/>
      <c r="B273" s="50"/>
      <c r="C273" s="50"/>
      <c r="D273" s="65"/>
      <c r="E273" s="126"/>
      <c r="F273" s="64"/>
      <c r="G273" s="182"/>
      <c r="H273" s="63"/>
      <c r="I273" s="67"/>
      <c r="J273" s="189"/>
      <c r="K273" s="67"/>
      <c r="L273" s="68"/>
      <c r="M273" s="68"/>
      <c r="N273" s="188"/>
      <c r="O273" s="51"/>
      <c r="P273" s="70"/>
    </row>
    <row r="274" spans="1:16" s="30" customFormat="1" ht="30" customHeight="1" thickBot="1" x14ac:dyDescent="0.35">
      <c r="A274" s="25"/>
      <c r="B274" s="50"/>
      <c r="C274" s="76"/>
      <c r="D274" s="374" t="s">
        <v>285</v>
      </c>
      <c r="E274" s="375"/>
      <c r="F274" s="375"/>
      <c r="G274" s="375"/>
      <c r="H274" s="375"/>
      <c r="I274" s="375"/>
      <c r="J274" s="315"/>
      <c r="K274" s="75"/>
      <c r="L274" s="68"/>
      <c r="M274" s="68"/>
      <c r="N274" s="188"/>
      <c r="O274" s="52">
        <f>J274</f>
        <v>0</v>
      </c>
      <c r="P274" s="70"/>
    </row>
    <row r="275" spans="1:16" ht="15" thickBot="1" x14ac:dyDescent="0.35">
      <c r="A275" s="32"/>
      <c r="B275" s="40"/>
      <c r="C275" s="40"/>
      <c r="D275" s="65"/>
      <c r="E275" s="71"/>
      <c r="F275" s="1"/>
      <c r="G275" s="182"/>
      <c r="H275" s="22"/>
      <c r="I275" s="56"/>
      <c r="J275" s="187"/>
      <c r="K275" s="57"/>
      <c r="L275" s="58"/>
      <c r="M275" s="58"/>
      <c r="N275" s="4"/>
      <c r="O275" s="51"/>
      <c r="P275" s="95"/>
    </row>
    <row r="276" spans="1:16" s="90" customFormat="1" ht="16.2" thickBot="1" x14ac:dyDescent="0.35">
      <c r="A276" s="59"/>
      <c r="B276" s="60"/>
      <c r="C276" s="60"/>
      <c r="D276" s="88"/>
      <c r="E276" s="127"/>
      <c r="F276" s="61"/>
      <c r="G276" s="370" t="s">
        <v>37</v>
      </c>
      <c r="H276" s="371"/>
      <c r="I276" s="185">
        <f>SUM(J248:J273)</f>
        <v>270.74420000000003</v>
      </c>
      <c r="J276" s="372" t="s">
        <v>38</v>
      </c>
      <c r="K276" s="373"/>
      <c r="L276" s="194">
        <f>SUM(N248:N273)</f>
        <v>2157.3237840000002</v>
      </c>
      <c r="M276" s="116"/>
      <c r="N276" s="191"/>
      <c r="O276" s="77"/>
      <c r="P276" s="89">
        <f>SUM(O248:O273)</f>
        <v>2428.0679839999993</v>
      </c>
    </row>
    <row r="277" spans="1:16" ht="15" thickBot="1" x14ac:dyDescent="0.35">
      <c r="A277" s="91"/>
      <c r="B277" s="92"/>
      <c r="C277" s="93"/>
      <c r="D277" s="10"/>
      <c r="E277" s="128"/>
      <c r="F277" s="21"/>
      <c r="G277" s="182"/>
      <c r="H277" s="22"/>
      <c r="I277" s="11"/>
      <c r="J277" s="4"/>
      <c r="K277" s="4"/>
      <c r="L277" s="3"/>
      <c r="M277" s="66"/>
      <c r="N277" s="4"/>
      <c r="O277" s="52"/>
      <c r="P277" s="70"/>
    </row>
    <row r="278" spans="1:16" ht="30" customHeight="1" thickBot="1" x14ac:dyDescent="0.35">
      <c r="A278" s="322" t="s">
        <v>175</v>
      </c>
      <c r="B278" s="323"/>
      <c r="C278" s="323"/>
      <c r="D278" s="323"/>
      <c r="E278" s="323"/>
      <c r="F278" s="323"/>
      <c r="G278" s="323"/>
      <c r="H278" s="324"/>
      <c r="I278" s="20"/>
      <c r="J278" s="4"/>
      <c r="K278" s="4"/>
      <c r="L278" s="3"/>
      <c r="M278" s="3"/>
      <c r="N278" s="4"/>
      <c r="O278" s="52"/>
      <c r="P278" s="70"/>
    </row>
    <row r="279" spans="1:16" ht="20.100000000000001" customHeight="1" thickBot="1" x14ac:dyDescent="0.35">
      <c r="A279" s="364" t="s">
        <v>8</v>
      </c>
      <c r="B279" s="365"/>
      <c r="C279" s="365"/>
      <c r="D279" s="366"/>
      <c r="E279" s="74"/>
      <c r="F279" s="1"/>
      <c r="G279" s="78"/>
      <c r="H279" s="2"/>
      <c r="I279" s="11"/>
      <c r="J279" s="187"/>
      <c r="K279" s="4"/>
      <c r="L279" s="3"/>
      <c r="M279" s="3"/>
      <c r="N279" s="4"/>
      <c r="O279" s="52"/>
      <c r="P279" s="70"/>
    </row>
    <row r="280" spans="1:16" x14ac:dyDescent="0.3">
      <c r="A280" s="32">
        <v>1</v>
      </c>
      <c r="B280" s="131"/>
      <c r="C280" s="15"/>
      <c r="D280" s="26" t="s">
        <v>244</v>
      </c>
      <c r="E280" s="71">
        <v>282</v>
      </c>
      <c r="F280" s="1">
        <v>0.1</v>
      </c>
      <c r="G280" s="78">
        <f>E280+(E280*F280)</f>
        <v>310.2</v>
      </c>
      <c r="H280" s="5" t="s">
        <v>9</v>
      </c>
      <c r="I280" s="9">
        <f>85.62/100</f>
        <v>0.85620000000000007</v>
      </c>
      <c r="J280" s="188">
        <f>I280*G280</f>
        <v>265.59324000000004</v>
      </c>
      <c r="K280" s="9">
        <f t="shared" ref="K280" si="239">$K$5</f>
        <v>121.66</v>
      </c>
      <c r="L280" s="29">
        <v>5.2499999999999998E-2</v>
      </c>
      <c r="M280" s="29">
        <f>L280*G280</f>
        <v>16.285499999999999</v>
      </c>
      <c r="N280" s="188">
        <f t="shared" ref="N280:N291" si="240">M280*K280</f>
        <v>1981.2939299999998</v>
      </c>
      <c r="O280" s="53">
        <f t="shared" ref="O280:O291" si="241">N280+J280</f>
        <v>2246.88717</v>
      </c>
      <c r="P280" s="86"/>
    </row>
    <row r="281" spans="1:16" x14ac:dyDescent="0.3">
      <c r="A281" s="32"/>
      <c r="B281" s="131"/>
      <c r="C281" s="15"/>
      <c r="D281" s="26" t="s">
        <v>245</v>
      </c>
      <c r="E281" s="71">
        <f>ROUNDUP(E280*1%*2,0)</f>
        <v>6</v>
      </c>
      <c r="F281" s="1">
        <v>0</v>
      </c>
      <c r="G281" s="78">
        <f>E281+(E281*F281)</f>
        <v>6</v>
      </c>
      <c r="H281" s="5" t="s">
        <v>11</v>
      </c>
      <c r="I281" s="9">
        <v>12.1174</v>
      </c>
      <c r="J281" s="188">
        <f>I281*G281</f>
        <v>72.704399999999993</v>
      </c>
      <c r="K281" s="9">
        <f>$K$5</f>
        <v>121.66</v>
      </c>
      <c r="L281" s="29">
        <v>0.5</v>
      </c>
      <c r="M281" s="29">
        <f>L281*G281</f>
        <v>3</v>
      </c>
      <c r="N281" s="188">
        <f>M281*K281</f>
        <v>364.98</v>
      </c>
      <c r="O281" s="53">
        <f>N281+J281</f>
        <v>437.68439999999998</v>
      </c>
      <c r="P281" s="86"/>
    </row>
    <row r="282" spans="1:16" x14ac:dyDescent="0.3">
      <c r="A282" s="32"/>
      <c r="B282" s="131"/>
      <c r="C282" s="15"/>
      <c r="D282" s="26" t="s">
        <v>246</v>
      </c>
      <c r="E282" s="71">
        <f>ROUNDUP(E280*4%*2,0)</f>
        <v>23</v>
      </c>
      <c r="F282" s="1">
        <v>0</v>
      </c>
      <c r="G282" s="78">
        <f>E282+(E282*F282)</f>
        <v>23</v>
      </c>
      <c r="H282" s="5" t="s">
        <v>11</v>
      </c>
      <c r="I282" s="9">
        <v>0.37490000000000001</v>
      </c>
      <c r="J282" s="188">
        <f>I282*G282</f>
        <v>8.6227</v>
      </c>
      <c r="K282" s="9">
        <f>$K$5</f>
        <v>121.66</v>
      </c>
      <c r="L282" s="29">
        <v>0.13</v>
      </c>
      <c r="M282" s="29">
        <f>L282*G282</f>
        <v>2.99</v>
      </c>
      <c r="N282" s="188">
        <f>M282*K282</f>
        <v>363.76339999999999</v>
      </c>
      <c r="O282" s="53">
        <f>N282+J282</f>
        <v>372.3861</v>
      </c>
      <c r="P282" s="86"/>
    </row>
    <row r="283" spans="1:16" x14ac:dyDescent="0.3">
      <c r="A283" s="32"/>
      <c r="B283" s="131"/>
      <c r="C283" s="15"/>
      <c r="D283" s="26" t="s">
        <v>247</v>
      </c>
      <c r="E283" s="71">
        <f>ROUNDUP(E280*3%*4,0)</f>
        <v>34</v>
      </c>
      <c r="F283" s="1">
        <v>0</v>
      </c>
      <c r="G283" s="78">
        <f>E283+(E283*F283)</f>
        <v>34</v>
      </c>
      <c r="H283" s="5" t="s">
        <v>11</v>
      </c>
      <c r="I283" s="9">
        <v>0.38679999999999998</v>
      </c>
      <c r="J283" s="188">
        <f>I283*G283</f>
        <v>13.151199999999999</v>
      </c>
      <c r="K283" s="9">
        <f>$K$5</f>
        <v>121.66</v>
      </c>
      <c r="L283" s="29">
        <v>0.03</v>
      </c>
      <c r="M283" s="29">
        <f>L283*G283</f>
        <v>1.02</v>
      </c>
      <c r="N283" s="188">
        <f>M283*K283</f>
        <v>124.0932</v>
      </c>
      <c r="O283" s="53">
        <f>N283+J283</f>
        <v>137.24439999999998</v>
      </c>
      <c r="P283" s="86"/>
    </row>
    <row r="284" spans="1:16" x14ac:dyDescent="0.3">
      <c r="A284" s="32"/>
      <c r="B284" s="131"/>
      <c r="C284" s="15"/>
      <c r="D284" s="26" t="s">
        <v>248</v>
      </c>
      <c r="E284" s="71">
        <f>ROUNDUP(E280*4%*2,0)</f>
        <v>23</v>
      </c>
      <c r="F284" s="1">
        <v>0</v>
      </c>
      <c r="G284" s="78">
        <f>E284+(E284*F284)</f>
        <v>23</v>
      </c>
      <c r="H284" s="5" t="s">
        <v>11</v>
      </c>
      <c r="I284" s="9">
        <v>0.66879999999999995</v>
      </c>
      <c r="J284" s="188">
        <f>I284*G284</f>
        <v>15.382399999999999</v>
      </c>
      <c r="K284" s="9">
        <f t="shared" ref="K284:K292" si="242">$K$5</f>
        <v>121.66</v>
      </c>
      <c r="L284" s="29">
        <v>0.18</v>
      </c>
      <c r="M284" s="29">
        <f>L284*G284</f>
        <v>4.1399999999999997</v>
      </c>
      <c r="N284" s="188">
        <f>M284*K284</f>
        <v>503.67239999999993</v>
      </c>
      <c r="O284" s="53">
        <f>N284+J284</f>
        <v>519.05479999999989</v>
      </c>
      <c r="P284" s="86"/>
    </row>
    <row r="285" spans="1:16" s="266" customFormat="1" x14ac:dyDescent="0.3">
      <c r="A285" s="228">
        <v>2</v>
      </c>
      <c r="B285" s="248"/>
      <c r="C285" s="229"/>
      <c r="D285" s="231" t="s">
        <v>284</v>
      </c>
      <c r="E285" s="232">
        <v>5</v>
      </c>
      <c r="F285" s="1">
        <v>0.1</v>
      </c>
      <c r="G285" s="78">
        <f t="shared" ref="G285:G291" si="243">E285+(E285*F285)</f>
        <v>5.5</v>
      </c>
      <c r="H285" s="5" t="s">
        <v>9</v>
      </c>
      <c r="I285" s="45">
        <f>552.38/100</f>
        <v>5.5237999999999996</v>
      </c>
      <c r="J285" s="286">
        <f t="shared" ref="J285:J290" si="244">I285*G285</f>
        <v>30.380899999999997</v>
      </c>
      <c r="K285" s="9">
        <f t="shared" si="242"/>
        <v>121.66</v>
      </c>
      <c r="L285" s="287">
        <v>7.0000000000000007E-2</v>
      </c>
      <c r="M285" s="235">
        <f t="shared" ref="M285:M291" si="245">L285*G285</f>
        <v>0.38500000000000001</v>
      </c>
      <c r="N285" s="234">
        <f t="shared" si="240"/>
        <v>46.839100000000002</v>
      </c>
      <c r="O285" s="269">
        <f t="shared" si="241"/>
        <v>77.22</v>
      </c>
      <c r="P285" s="236"/>
    </row>
    <row r="286" spans="1:16" s="266" customFormat="1" x14ac:dyDescent="0.3">
      <c r="A286" s="258"/>
      <c r="B286" s="229"/>
      <c r="C286" s="229"/>
      <c r="D286" s="231" t="s">
        <v>280</v>
      </c>
      <c r="E286" s="232">
        <f>ROUNDUP(E285*4%,0)</f>
        <v>1</v>
      </c>
      <c r="F286" s="268">
        <v>0</v>
      </c>
      <c r="G286" s="28">
        <f t="shared" si="243"/>
        <v>1</v>
      </c>
      <c r="H286" s="28" t="s">
        <v>11</v>
      </c>
      <c r="I286" s="45">
        <v>0</v>
      </c>
      <c r="J286" s="286">
        <f t="shared" si="244"/>
        <v>0</v>
      </c>
      <c r="K286" s="9">
        <f t="shared" si="242"/>
        <v>121.66</v>
      </c>
      <c r="L286" s="287">
        <v>0.22</v>
      </c>
      <c r="M286" s="288">
        <f t="shared" si="245"/>
        <v>0.22</v>
      </c>
      <c r="N286" s="286">
        <f t="shared" si="240"/>
        <v>26.7652</v>
      </c>
      <c r="O286" s="289">
        <f t="shared" si="241"/>
        <v>26.7652</v>
      </c>
      <c r="P286" s="287"/>
    </row>
    <row r="287" spans="1:16" s="266" customFormat="1" x14ac:dyDescent="0.3">
      <c r="A287" s="258"/>
      <c r="B287" s="229"/>
      <c r="C287" s="229"/>
      <c r="D287" s="231" t="s">
        <v>281</v>
      </c>
      <c r="E287" s="232">
        <f>ROUNDUP(E285/9.2,0)</f>
        <v>1</v>
      </c>
      <c r="F287" s="268">
        <v>0</v>
      </c>
      <c r="G287" s="28">
        <f t="shared" si="243"/>
        <v>1</v>
      </c>
      <c r="H287" s="28" t="s">
        <v>11</v>
      </c>
      <c r="I287" s="45">
        <v>1.9380000000000002</v>
      </c>
      <c r="J287" s="286">
        <f t="shared" si="244"/>
        <v>1.9380000000000002</v>
      </c>
      <c r="K287" s="9">
        <f t="shared" si="242"/>
        <v>121.66</v>
      </c>
      <c r="L287" s="287">
        <v>0.06</v>
      </c>
      <c r="M287" s="288">
        <f t="shared" si="245"/>
        <v>0.06</v>
      </c>
      <c r="N287" s="286">
        <f t="shared" si="240"/>
        <v>7.2995999999999999</v>
      </c>
      <c r="O287" s="289">
        <f t="shared" si="241"/>
        <v>9.2376000000000005</v>
      </c>
      <c r="P287" s="287"/>
    </row>
    <row r="288" spans="1:16" s="266" customFormat="1" x14ac:dyDescent="0.3">
      <c r="A288" s="258"/>
      <c r="B288" s="229"/>
      <c r="C288" s="229"/>
      <c r="D288" s="231" t="s">
        <v>282</v>
      </c>
      <c r="E288" s="232">
        <f>ROUNDUP(E285*4%,0)</f>
        <v>1</v>
      </c>
      <c r="F288" s="268">
        <v>0</v>
      </c>
      <c r="G288" s="28">
        <f t="shared" si="243"/>
        <v>1</v>
      </c>
      <c r="H288" s="28" t="s">
        <v>11</v>
      </c>
      <c r="I288" s="45">
        <v>5.0373000000000001</v>
      </c>
      <c r="J288" s="286">
        <f t="shared" si="244"/>
        <v>5.0373000000000001</v>
      </c>
      <c r="K288" s="9">
        <f t="shared" si="242"/>
        <v>121.66</v>
      </c>
      <c r="L288" s="287">
        <v>0.06</v>
      </c>
      <c r="M288" s="288">
        <f t="shared" si="245"/>
        <v>0.06</v>
      </c>
      <c r="N288" s="286">
        <f t="shared" si="240"/>
        <v>7.2995999999999999</v>
      </c>
      <c r="O288" s="289">
        <f t="shared" si="241"/>
        <v>12.3369</v>
      </c>
      <c r="P288" s="287"/>
    </row>
    <row r="289" spans="1:16" s="266" customFormat="1" x14ac:dyDescent="0.3">
      <c r="A289" s="258"/>
      <c r="B289" s="229"/>
      <c r="C289" s="229"/>
      <c r="D289" s="231" t="s">
        <v>283</v>
      </c>
      <c r="E289" s="232">
        <f>ROUNDUP(E285*4%,0)</f>
        <v>1</v>
      </c>
      <c r="F289" s="268">
        <v>0</v>
      </c>
      <c r="G289" s="28">
        <f t="shared" si="243"/>
        <v>1</v>
      </c>
      <c r="H289" s="28" t="s">
        <v>11</v>
      </c>
      <c r="I289" s="45">
        <v>55.47</v>
      </c>
      <c r="J289" s="286">
        <f t="shared" si="244"/>
        <v>55.47</v>
      </c>
      <c r="K289" s="9">
        <f t="shared" si="242"/>
        <v>121.66</v>
      </c>
      <c r="L289" s="287">
        <v>0.38</v>
      </c>
      <c r="M289" s="288">
        <f t="shared" si="245"/>
        <v>0.38</v>
      </c>
      <c r="N289" s="286">
        <f t="shared" si="240"/>
        <v>46.230800000000002</v>
      </c>
      <c r="O289" s="289">
        <f t="shared" si="241"/>
        <v>101.7008</v>
      </c>
      <c r="P289" s="287"/>
    </row>
    <row r="290" spans="1:16" s="266" customFormat="1" x14ac:dyDescent="0.3">
      <c r="A290" s="258"/>
      <c r="B290" s="229"/>
      <c r="C290" s="229"/>
      <c r="D290" s="231" t="s">
        <v>275</v>
      </c>
      <c r="E290" s="232">
        <f>ROUNDUP(E285*4%,0)</f>
        <v>1</v>
      </c>
      <c r="F290" s="268">
        <v>0</v>
      </c>
      <c r="G290" s="28">
        <f t="shared" si="243"/>
        <v>1</v>
      </c>
      <c r="H290" s="28" t="s">
        <v>11</v>
      </c>
      <c r="I290" s="45">
        <v>13.82</v>
      </c>
      <c r="J290" s="286">
        <f t="shared" si="244"/>
        <v>13.82</v>
      </c>
      <c r="K290" s="9">
        <f t="shared" si="242"/>
        <v>121.66</v>
      </c>
      <c r="L290" s="287">
        <v>0.05</v>
      </c>
      <c r="M290" s="288">
        <f t="shared" si="245"/>
        <v>0.05</v>
      </c>
      <c r="N290" s="286">
        <f t="shared" si="240"/>
        <v>6.0830000000000002</v>
      </c>
      <c r="O290" s="289">
        <f t="shared" si="241"/>
        <v>19.902999999999999</v>
      </c>
      <c r="P290" s="287"/>
    </row>
    <row r="291" spans="1:16" s="30" customFormat="1" x14ac:dyDescent="0.3">
      <c r="A291" s="32">
        <v>3</v>
      </c>
      <c r="B291" s="131"/>
      <c r="C291" s="14"/>
      <c r="D291" s="26" t="s">
        <v>249</v>
      </c>
      <c r="E291" s="71">
        <v>57</v>
      </c>
      <c r="F291" s="1">
        <v>0.1</v>
      </c>
      <c r="G291" s="78">
        <f t="shared" si="243"/>
        <v>62.7</v>
      </c>
      <c r="H291" s="5" t="s">
        <v>9</v>
      </c>
      <c r="I291" s="9">
        <f>58.67/100</f>
        <v>0.5867</v>
      </c>
      <c r="J291" s="188">
        <f t="shared" ref="J291" si="246">I291*G291</f>
        <v>36.786090000000002</v>
      </c>
      <c r="K291" s="9">
        <f t="shared" si="242"/>
        <v>121.66</v>
      </c>
      <c r="L291" s="29">
        <v>4.4999999999999998E-2</v>
      </c>
      <c r="M291" s="29">
        <f t="shared" si="245"/>
        <v>2.8214999999999999</v>
      </c>
      <c r="N291" s="188">
        <f t="shared" si="240"/>
        <v>343.26369</v>
      </c>
      <c r="O291" s="54">
        <f t="shared" si="241"/>
        <v>380.04978</v>
      </c>
      <c r="P291" s="86"/>
    </row>
    <row r="292" spans="1:16" x14ac:dyDescent="0.3">
      <c r="A292" s="32"/>
      <c r="B292" s="131"/>
      <c r="C292" s="14"/>
      <c r="D292" s="26" t="s">
        <v>250</v>
      </c>
      <c r="E292" s="71">
        <f>ROUNDUP(E291*3%*2,0)</f>
        <v>4</v>
      </c>
      <c r="F292" s="1">
        <v>0</v>
      </c>
      <c r="G292" s="78">
        <f>E292+(E292*F292)</f>
        <v>4</v>
      </c>
      <c r="H292" s="5" t="s">
        <v>11</v>
      </c>
      <c r="I292" s="9">
        <v>7.7549999999999999</v>
      </c>
      <c r="J292" s="188">
        <f>I292*G292</f>
        <v>31.02</v>
      </c>
      <c r="K292" s="9">
        <f t="shared" si="242"/>
        <v>121.66</v>
      </c>
      <c r="L292" s="29">
        <v>0.4</v>
      </c>
      <c r="M292" s="29">
        <f>L292*G292</f>
        <v>1.6</v>
      </c>
      <c r="N292" s="188">
        <f>M292*K292</f>
        <v>194.65600000000001</v>
      </c>
      <c r="O292" s="54">
        <f>N292+J292</f>
        <v>225.67600000000002</v>
      </c>
      <c r="P292" s="86"/>
    </row>
    <row r="293" spans="1:16" x14ac:dyDescent="0.3">
      <c r="A293" s="32"/>
      <c r="B293" s="131"/>
      <c r="C293" s="14"/>
      <c r="D293" s="26" t="s">
        <v>251</v>
      </c>
      <c r="E293" s="71">
        <f>ROUNDUP(E291*4%*2,0)</f>
        <v>5</v>
      </c>
      <c r="F293" s="1">
        <v>0</v>
      </c>
      <c r="G293" s="78">
        <f>E293+(E293*F293)</f>
        <v>5</v>
      </c>
      <c r="H293" s="5" t="s">
        <v>11</v>
      </c>
      <c r="I293" s="9">
        <v>0.17899999999999999</v>
      </c>
      <c r="J293" s="188">
        <f>I293*G293</f>
        <v>0.89500000000000002</v>
      </c>
      <c r="K293" s="9">
        <f>$K$5</f>
        <v>121.66</v>
      </c>
      <c r="L293" s="29">
        <v>0.12</v>
      </c>
      <c r="M293" s="29">
        <f>L293*G293</f>
        <v>0.6</v>
      </c>
      <c r="N293" s="188">
        <f>M293*K293</f>
        <v>72.995999999999995</v>
      </c>
      <c r="O293" s="54">
        <f>N293+J293</f>
        <v>73.890999999999991</v>
      </c>
      <c r="P293" s="86"/>
    </row>
    <row r="294" spans="1:16" x14ac:dyDescent="0.3">
      <c r="A294" s="32"/>
      <c r="B294" s="131"/>
      <c r="C294" s="14"/>
      <c r="D294" s="26" t="s">
        <v>252</v>
      </c>
      <c r="E294" s="71">
        <f>ROUNDUP(E291*3%*4,0)</f>
        <v>7</v>
      </c>
      <c r="F294" s="1">
        <v>0</v>
      </c>
      <c r="G294" s="78">
        <f>E294+(E294*F294)</f>
        <v>7</v>
      </c>
      <c r="H294" s="5" t="s">
        <v>11</v>
      </c>
      <c r="I294" s="9">
        <v>0.25480000000000003</v>
      </c>
      <c r="J294" s="188">
        <f>I294*G294</f>
        <v>1.7836000000000003</v>
      </c>
      <c r="K294" s="9">
        <f>$K$5</f>
        <v>121.66</v>
      </c>
      <c r="L294" s="29">
        <v>0.03</v>
      </c>
      <c r="M294" s="29">
        <f>L294*G294</f>
        <v>0.21</v>
      </c>
      <c r="N294" s="188">
        <f>M294*K294</f>
        <v>25.548599999999997</v>
      </c>
      <c r="O294" s="54">
        <f>N294+J294</f>
        <v>27.332199999999997</v>
      </c>
      <c r="P294" s="86"/>
    </row>
    <row r="295" spans="1:16" x14ac:dyDescent="0.3">
      <c r="A295" s="32"/>
      <c r="B295" s="131"/>
      <c r="C295" s="14"/>
      <c r="D295" s="26" t="s">
        <v>253</v>
      </c>
      <c r="E295" s="71">
        <f>ROUNDUP(E291*4%*2,0)</f>
        <v>5</v>
      </c>
      <c r="F295" s="1">
        <v>0</v>
      </c>
      <c r="G295" s="78">
        <f>E295+(E295*F295)</f>
        <v>5</v>
      </c>
      <c r="H295" s="5" t="s">
        <v>11</v>
      </c>
      <c r="I295" s="9">
        <v>0.49180000000000001</v>
      </c>
      <c r="J295" s="188">
        <f>I295*G295</f>
        <v>2.4590000000000001</v>
      </c>
      <c r="K295" s="9">
        <f>$K$5</f>
        <v>121.66</v>
      </c>
      <c r="L295" s="29">
        <v>0.16</v>
      </c>
      <c r="M295" s="29">
        <f>L295*G295</f>
        <v>0.8</v>
      </c>
      <c r="N295" s="188">
        <f>M295*K295</f>
        <v>97.328000000000003</v>
      </c>
      <c r="O295" s="54">
        <f>N295+J295</f>
        <v>99.787000000000006</v>
      </c>
      <c r="P295" s="86"/>
    </row>
    <row r="296" spans="1:16" s="30" customFormat="1" ht="15" thickBot="1" x14ac:dyDescent="0.35">
      <c r="A296" s="25"/>
      <c r="B296" s="14"/>
      <c r="C296" s="14"/>
      <c r="D296" s="26"/>
      <c r="E296" s="71"/>
      <c r="F296" s="1"/>
      <c r="G296" s="78"/>
      <c r="H296" s="5"/>
      <c r="I296" s="9"/>
      <c r="J296" s="188"/>
      <c r="K296" s="9"/>
      <c r="L296" s="29"/>
      <c r="M296" s="29"/>
      <c r="N296" s="188"/>
      <c r="O296" s="54"/>
      <c r="P296" s="86"/>
    </row>
    <row r="297" spans="1:16" ht="20.100000000000001" customHeight="1" thickBot="1" x14ac:dyDescent="0.35">
      <c r="A297" s="364" t="s">
        <v>10</v>
      </c>
      <c r="B297" s="365"/>
      <c r="C297" s="365"/>
      <c r="D297" s="366"/>
      <c r="E297" s="74"/>
      <c r="F297" s="1"/>
      <c r="G297" s="78"/>
      <c r="H297" s="2"/>
      <c r="I297" s="11"/>
      <c r="J297" s="187"/>
      <c r="K297" s="4"/>
      <c r="L297" s="3"/>
      <c r="M297" s="3"/>
      <c r="N297" s="4"/>
      <c r="O297" s="52"/>
      <c r="P297" s="86"/>
    </row>
    <row r="298" spans="1:16" s="237" customFormat="1" x14ac:dyDescent="0.3">
      <c r="A298" s="228">
        <v>1</v>
      </c>
      <c r="B298" s="248"/>
      <c r="C298" s="230"/>
      <c r="D298" s="231" t="s">
        <v>192</v>
      </c>
      <c r="E298" s="232">
        <v>639</v>
      </c>
      <c r="F298" s="1">
        <v>0.1</v>
      </c>
      <c r="G298" s="78">
        <f>E298+(E298*F298)</f>
        <v>702.9</v>
      </c>
      <c r="H298" s="5" t="s">
        <v>9</v>
      </c>
      <c r="I298" s="233">
        <v>0.14299999999999999</v>
      </c>
      <c r="J298" s="234">
        <f>I298*G298</f>
        <v>100.51469999999999</v>
      </c>
      <c r="K298" s="233">
        <f>$K$5</f>
        <v>121.66</v>
      </c>
      <c r="L298" s="235">
        <v>3.2000000000000002E-3</v>
      </c>
      <c r="M298" s="235">
        <f t="shared" ref="M298" si="247">L298*G298</f>
        <v>2.2492800000000002</v>
      </c>
      <c r="N298" s="234">
        <f t="shared" ref="N298" si="248">M298*K298</f>
        <v>273.6474048</v>
      </c>
      <c r="O298" s="270">
        <f t="shared" ref="O298" si="249">N298+J298</f>
        <v>374.16210480000001</v>
      </c>
      <c r="P298" s="236"/>
    </row>
    <row r="299" spans="1:16" s="237" customFormat="1" ht="15" thickBot="1" x14ac:dyDescent="0.35">
      <c r="A299" s="256"/>
      <c r="B299" s="271"/>
      <c r="C299" s="271"/>
      <c r="D299" s="272"/>
      <c r="E299" s="273"/>
      <c r="F299" s="18"/>
      <c r="G299" s="183"/>
      <c r="H299" s="19"/>
      <c r="I299" s="11"/>
      <c r="J299" s="187"/>
      <c r="K299" s="4"/>
      <c r="L299" s="3"/>
      <c r="M299" s="3"/>
      <c r="N299" s="4"/>
      <c r="O299" s="52"/>
      <c r="P299" s="236"/>
    </row>
    <row r="300" spans="1:16" s="237" customFormat="1" ht="20.100000000000001" customHeight="1" thickBot="1" x14ac:dyDescent="0.35">
      <c r="A300" s="367" t="s">
        <v>17</v>
      </c>
      <c r="B300" s="368"/>
      <c r="C300" s="368"/>
      <c r="D300" s="369" t="s">
        <v>17</v>
      </c>
      <c r="E300" s="267"/>
      <c r="F300" s="1"/>
      <c r="G300" s="78"/>
      <c r="H300" s="2"/>
      <c r="I300" s="11"/>
      <c r="J300" s="187"/>
      <c r="K300" s="4"/>
      <c r="L300" s="3"/>
      <c r="M300" s="3"/>
      <c r="N300" s="4"/>
      <c r="O300" s="52"/>
      <c r="P300" s="236"/>
    </row>
    <row r="301" spans="1:16" s="237" customFormat="1" x14ac:dyDescent="0.3">
      <c r="A301" s="228">
        <v>1</v>
      </c>
      <c r="B301" s="248"/>
      <c r="C301" s="230"/>
      <c r="D301" s="243" t="s">
        <v>193</v>
      </c>
      <c r="E301" s="72">
        <v>1</v>
      </c>
      <c r="F301" s="1">
        <v>0</v>
      </c>
      <c r="G301" s="78">
        <f t="shared" ref="G301" si="250">E301+(E301*F301)</f>
        <v>1</v>
      </c>
      <c r="H301" s="5" t="s">
        <v>11</v>
      </c>
      <c r="I301" s="300"/>
      <c r="J301" s="234">
        <f t="shared" ref="J301" si="251">I301*G301</f>
        <v>0</v>
      </c>
      <c r="K301" s="233">
        <f t="shared" ref="K301:K305" si="252">$K$5</f>
        <v>121.66</v>
      </c>
      <c r="L301" s="31">
        <v>0.16</v>
      </c>
      <c r="M301" s="235">
        <f t="shared" ref="M301" si="253">L301*G301</f>
        <v>0.16</v>
      </c>
      <c r="N301" s="4">
        <f t="shared" ref="N301" si="254">K301*M301</f>
        <v>19.465599999999998</v>
      </c>
      <c r="O301" s="52">
        <f t="shared" ref="O301" si="255">J301+N301</f>
        <v>19.465599999999998</v>
      </c>
      <c r="P301" s="236"/>
    </row>
    <row r="302" spans="1:16" s="237" customFormat="1" ht="28.8" x14ac:dyDescent="0.3">
      <c r="A302" s="228">
        <v>2</v>
      </c>
      <c r="B302" s="248"/>
      <c r="C302" s="230"/>
      <c r="D302" s="243" t="s">
        <v>195</v>
      </c>
      <c r="E302" s="72">
        <v>1</v>
      </c>
      <c r="F302" s="1">
        <v>0</v>
      </c>
      <c r="G302" s="78">
        <f t="shared" ref="G302:G303" si="256">E302+(E302*F302)</f>
        <v>1</v>
      </c>
      <c r="H302" s="5" t="s">
        <v>11</v>
      </c>
      <c r="I302" s="300"/>
      <c r="J302" s="234">
        <f t="shared" ref="J302" si="257">I302*G302</f>
        <v>0</v>
      </c>
      <c r="K302" s="233">
        <f t="shared" si="252"/>
        <v>121.66</v>
      </c>
      <c r="L302" s="31">
        <v>2</v>
      </c>
      <c r="M302" s="235">
        <f t="shared" ref="M302" si="258">L302*G302</f>
        <v>2</v>
      </c>
      <c r="N302" s="4">
        <f t="shared" ref="N302" si="259">K302*M302</f>
        <v>243.32</v>
      </c>
      <c r="O302" s="52">
        <f t="shared" ref="O302" si="260">J302+N302</f>
        <v>243.32</v>
      </c>
      <c r="P302" s="236"/>
    </row>
    <row r="303" spans="1:16" s="237" customFormat="1" x14ac:dyDescent="0.3">
      <c r="A303" s="228">
        <v>3</v>
      </c>
      <c r="B303" s="248"/>
      <c r="C303" s="229"/>
      <c r="D303" s="243" t="s">
        <v>196</v>
      </c>
      <c r="E303" s="72">
        <v>7</v>
      </c>
      <c r="F303" s="1">
        <v>0</v>
      </c>
      <c r="G303" s="78">
        <f t="shared" si="256"/>
        <v>7</v>
      </c>
      <c r="H303" s="5" t="s">
        <v>11</v>
      </c>
      <c r="I303" s="300"/>
      <c r="J303" s="234">
        <f>I303*G303</f>
        <v>0</v>
      </c>
      <c r="K303" s="233">
        <f t="shared" si="252"/>
        <v>121.66</v>
      </c>
      <c r="L303" s="31">
        <v>0.16</v>
      </c>
      <c r="M303" s="235">
        <f>L303*G303</f>
        <v>1.1200000000000001</v>
      </c>
      <c r="N303" s="4">
        <f>K303*M303</f>
        <v>136.25920000000002</v>
      </c>
      <c r="O303" s="52">
        <f>J303+N303</f>
        <v>136.25920000000002</v>
      </c>
      <c r="P303" s="236"/>
    </row>
    <row r="304" spans="1:16" s="237" customFormat="1" x14ac:dyDescent="0.3">
      <c r="A304" s="228">
        <v>4</v>
      </c>
      <c r="B304" s="248"/>
      <c r="C304" s="274"/>
      <c r="D304" s="251" t="s">
        <v>197</v>
      </c>
      <c r="E304" s="72">
        <v>4</v>
      </c>
      <c r="F304" s="1">
        <v>0</v>
      </c>
      <c r="G304" s="78">
        <f>E304+(E304*F304)</f>
        <v>4</v>
      </c>
      <c r="H304" s="5" t="s">
        <v>11</v>
      </c>
      <c r="I304" s="300"/>
      <c r="J304" s="234">
        <f>I304*G304</f>
        <v>0</v>
      </c>
      <c r="K304" s="233">
        <f t="shared" si="252"/>
        <v>121.66</v>
      </c>
      <c r="L304" s="31">
        <v>0.16</v>
      </c>
      <c r="M304" s="235">
        <f>L304*G304</f>
        <v>0.64</v>
      </c>
      <c r="N304" s="4">
        <f>K304*M304</f>
        <v>77.862399999999994</v>
      </c>
      <c r="O304" s="52">
        <f>J304+N304</f>
        <v>77.862399999999994</v>
      </c>
      <c r="P304" s="236"/>
    </row>
    <row r="305" spans="1:16" s="237" customFormat="1" x14ac:dyDescent="0.3">
      <c r="A305" s="228">
        <v>5</v>
      </c>
      <c r="B305" s="248"/>
      <c r="C305" s="230"/>
      <c r="D305" s="243" t="s">
        <v>194</v>
      </c>
      <c r="E305" s="72">
        <v>1</v>
      </c>
      <c r="F305" s="1">
        <v>0</v>
      </c>
      <c r="G305" s="78">
        <f>E305+(E305*F305)</f>
        <v>1</v>
      </c>
      <c r="H305" s="5" t="s">
        <v>11</v>
      </c>
      <c r="I305" s="4">
        <v>165.1</v>
      </c>
      <c r="J305" s="234">
        <f>I305*G305</f>
        <v>165.1</v>
      </c>
      <c r="K305" s="233">
        <f t="shared" si="252"/>
        <v>121.66</v>
      </c>
      <c r="L305" s="3">
        <v>1</v>
      </c>
      <c r="M305" s="235">
        <f>L305*G305</f>
        <v>1</v>
      </c>
      <c r="N305" s="4">
        <f>K305*M305</f>
        <v>121.66</v>
      </c>
      <c r="O305" s="52">
        <f>J305+N305</f>
        <v>286.76</v>
      </c>
      <c r="P305" s="236"/>
    </row>
    <row r="306" spans="1:16" s="30" customFormat="1" ht="15" thickBot="1" x14ac:dyDescent="0.35">
      <c r="A306" s="25"/>
      <c r="B306" s="50"/>
      <c r="C306" s="50"/>
      <c r="D306" s="65"/>
      <c r="E306" s="126"/>
      <c r="F306" s="64"/>
      <c r="G306" s="182"/>
      <c r="H306" s="63"/>
      <c r="I306" s="67"/>
      <c r="J306" s="189"/>
      <c r="K306" s="67"/>
      <c r="L306" s="68"/>
      <c r="M306" s="68"/>
      <c r="N306" s="188"/>
      <c r="O306" s="51"/>
      <c r="P306" s="70"/>
    </row>
    <row r="307" spans="1:16" s="90" customFormat="1" ht="16.2" thickBot="1" x14ac:dyDescent="0.35">
      <c r="A307" s="59"/>
      <c r="B307" s="60"/>
      <c r="C307" s="60"/>
      <c r="D307" s="88"/>
      <c r="E307" s="127"/>
      <c r="F307" s="61"/>
      <c r="G307" s="370" t="s">
        <v>37</v>
      </c>
      <c r="H307" s="371"/>
      <c r="I307" s="185">
        <f>SUM(J279:J306)</f>
        <v>820.65852999999993</v>
      </c>
      <c r="J307" s="372" t="s">
        <v>38</v>
      </c>
      <c r="K307" s="373"/>
      <c r="L307" s="194">
        <f>SUM(N279:N306)</f>
        <v>5084.3271248000001</v>
      </c>
      <c r="M307" s="117"/>
      <c r="N307" s="191"/>
      <c r="O307" s="62"/>
      <c r="P307" s="89">
        <f>SUM(O279:O306)</f>
        <v>5904.9856547999998</v>
      </c>
    </row>
    <row r="308" spans="1:16" ht="15" thickBot="1" x14ac:dyDescent="0.35">
      <c r="A308" s="91"/>
      <c r="B308" s="92"/>
      <c r="C308" s="93"/>
      <c r="D308" s="10"/>
      <c r="E308" s="128"/>
      <c r="F308" s="21"/>
      <c r="G308" s="182"/>
      <c r="H308" s="22"/>
      <c r="I308" s="11"/>
      <c r="J308" s="4"/>
      <c r="K308" s="4"/>
      <c r="L308" s="3"/>
      <c r="M308" s="66"/>
      <c r="N308" s="4"/>
      <c r="O308" s="52"/>
      <c r="P308" s="70"/>
    </row>
    <row r="309" spans="1:16" ht="30" customHeight="1" thickBot="1" x14ac:dyDescent="0.35">
      <c r="A309" s="322" t="s">
        <v>176</v>
      </c>
      <c r="B309" s="323"/>
      <c r="C309" s="323"/>
      <c r="D309" s="323"/>
      <c r="E309" s="323"/>
      <c r="F309" s="323"/>
      <c r="G309" s="323"/>
      <c r="H309" s="324"/>
      <c r="I309" s="20"/>
      <c r="J309" s="4"/>
      <c r="K309" s="4"/>
      <c r="L309" s="3"/>
      <c r="M309" s="3"/>
      <c r="N309" s="4"/>
      <c r="O309" s="52"/>
      <c r="P309" s="70"/>
    </row>
    <row r="310" spans="1:16" ht="20.100000000000001" customHeight="1" thickBot="1" x14ac:dyDescent="0.35">
      <c r="A310" s="364" t="s">
        <v>8</v>
      </c>
      <c r="B310" s="365"/>
      <c r="C310" s="365"/>
      <c r="D310" s="366"/>
      <c r="E310" s="74"/>
      <c r="F310" s="1"/>
      <c r="G310" s="78"/>
      <c r="H310" s="2"/>
      <c r="I310" s="11"/>
      <c r="J310" s="187"/>
      <c r="K310" s="4"/>
      <c r="L310" s="3"/>
      <c r="M310" s="3"/>
      <c r="N310" s="4"/>
      <c r="O310" s="52"/>
      <c r="P310" s="70"/>
    </row>
    <row r="311" spans="1:16" x14ac:dyDescent="0.3">
      <c r="A311" s="32">
        <v>1</v>
      </c>
      <c r="B311" s="131"/>
      <c r="C311" s="15"/>
      <c r="D311" s="26" t="s">
        <v>260</v>
      </c>
      <c r="E311" s="71">
        <v>68</v>
      </c>
      <c r="F311" s="1">
        <v>0.1</v>
      </c>
      <c r="G311" s="78">
        <f t="shared" ref="G311:G323" si="261">E311+(E311*F311)</f>
        <v>74.8</v>
      </c>
      <c r="H311" s="5" t="s">
        <v>9</v>
      </c>
      <c r="I311" s="9">
        <f>175.67/100</f>
        <v>1.7566999999999999</v>
      </c>
      <c r="J311" s="188">
        <f t="shared" ref="J311:J323" si="262">I311*G311</f>
        <v>131.40115999999998</v>
      </c>
      <c r="K311" s="9">
        <f t="shared" ref="K311" si="263">$K$5</f>
        <v>121.66</v>
      </c>
      <c r="L311" s="29">
        <v>5.5E-2</v>
      </c>
      <c r="M311" s="29">
        <f t="shared" ref="M311:M323" si="264">L311*G311</f>
        <v>4.1139999999999999</v>
      </c>
      <c r="N311" s="188">
        <f t="shared" ref="N311" si="265">M311*K311</f>
        <v>500.50923999999998</v>
      </c>
      <c r="O311" s="53">
        <f t="shared" ref="O311" si="266">N311+J311</f>
        <v>631.91039999999998</v>
      </c>
      <c r="P311" s="86"/>
    </row>
    <row r="312" spans="1:16" x14ac:dyDescent="0.3">
      <c r="A312" s="32"/>
      <c r="B312" s="131"/>
      <c r="C312" s="15"/>
      <c r="D312" s="26" t="s">
        <v>261</v>
      </c>
      <c r="E312" s="71">
        <f>ROUNDUP(E311*8%,0)</f>
        <v>6</v>
      </c>
      <c r="F312" s="1">
        <v>0</v>
      </c>
      <c r="G312" s="78">
        <f t="shared" si="261"/>
        <v>6</v>
      </c>
      <c r="H312" s="5" t="s">
        <v>11</v>
      </c>
      <c r="I312" s="9">
        <v>1.07</v>
      </c>
      <c r="J312" s="188">
        <f t="shared" si="262"/>
        <v>6.42</v>
      </c>
      <c r="K312" s="9">
        <f>$K$5</f>
        <v>121.66</v>
      </c>
      <c r="L312" s="29">
        <v>0.35</v>
      </c>
      <c r="M312" s="29">
        <f t="shared" si="264"/>
        <v>2.0999999999999996</v>
      </c>
      <c r="N312" s="188">
        <f>M312*K312</f>
        <v>255.48599999999996</v>
      </c>
      <c r="O312" s="53">
        <f>N312+J312</f>
        <v>261.90599999999995</v>
      </c>
      <c r="P312" s="86"/>
    </row>
    <row r="313" spans="1:16" x14ac:dyDescent="0.3">
      <c r="A313" s="32"/>
      <c r="B313" s="131"/>
      <c r="C313" s="15"/>
      <c r="D313" s="26" t="s">
        <v>262</v>
      </c>
      <c r="E313" s="71">
        <f>ROUNDUP(E311/10,0)</f>
        <v>7</v>
      </c>
      <c r="F313" s="1">
        <v>0</v>
      </c>
      <c r="G313" s="78">
        <f t="shared" si="261"/>
        <v>7</v>
      </c>
      <c r="H313" s="5" t="s">
        <v>11</v>
      </c>
      <c r="I313" s="9">
        <v>1.23</v>
      </c>
      <c r="J313" s="188">
        <f t="shared" si="262"/>
        <v>8.61</v>
      </c>
      <c r="K313" s="9">
        <f>$K$5</f>
        <v>121.66</v>
      </c>
      <c r="L313" s="29">
        <v>0.16</v>
      </c>
      <c r="M313" s="29">
        <f t="shared" si="264"/>
        <v>1.1200000000000001</v>
      </c>
      <c r="N313" s="188">
        <f>M313*K313</f>
        <v>136.25920000000002</v>
      </c>
      <c r="O313" s="53">
        <f>N313+J313</f>
        <v>144.86920000000003</v>
      </c>
      <c r="P313" s="86"/>
    </row>
    <row r="314" spans="1:16" x14ac:dyDescent="0.3">
      <c r="A314" s="32"/>
      <c r="B314" s="131"/>
      <c r="C314" s="15"/>
      <c r="D314" s="26" t="s">
        <v>263</v>
      </c>
      <c r="E314" s="71">
        <f>ROUNDUP(E311/9.2,0)+ROUNDUP(E311*4%,0)</f>
        <v>11</v>
      </c>
      <c r="F314" s="1">
        <v>0</v>
      </c>
      <c r="G314" s="78">
        <f t="shared" si="261"/>
        <v>11</v>
      </c>
      <c r="H314" s="5" t="s">
        <v>11</v>
      </c>
      <c r="I314" s="9">
        <v>1.1935</v>
      </c>
      <c r="J314" s="188">
        <f t="shared" si="262"/>
        <v>13.128500000000001</v>
      </c>
      <c r="K314" s="9">
        <f>$K$5</f>
        <v>121.66</v>
      </c>
      <c r="L314" s="29">
        <v>0.04</v>
      </c>
      <c r="M314" s="29">
        <f t="shared" si="264"/>
        <v>0.44</v>
      </c>
      <c r="N314" s="188">
        <f>M314*K314</f>
        <v>53.5304</v>
      </c>
      <c r="O314" s="53">
        <f>N314+J314</f>
        <v>66.658900000000003</v>
      </c>
      <c r="P314" s="86"/>
    </row>
    <row r="315" spans="1:16" x14ac:dyDescent="0.3">
      <c r="A315" s="32"/>
      <c r="B315" s="131"/>
      <c r="C315" s="15"/>
      <c r="D315" s="26" t="s">
        <v>258</v>
      </c>
      <c r="E315" s="71">
        <f>ROUNDUP(E311/9.2,0)+ROUNDUP(E311*12%,0)</f>
        <v>17</v>
      </c>
      <c r="F315" s="1">
        <v>0</v>
      </c>
      <c r="G315" s="78">
        <f t="shared" si="261"/>
        <v>17</v>
      </c>
      <c r="H315" s="5" t="s">
        <v>11</v>
      </c>
      <c r="I315" s="9">
        <v>2.93E-2</v>
      </c>
      <c r="J315" s="188">
        <f t="shared" si="262"/>
        <v>0.49809999999999999</v>
      </c>
      <c r="K315" s="9">
        <f>$K$5</f>
        <v>121.66</v>
      </c>
      <c r="L315" s="29">
        <v>0.05</v>
      </c>
      <c r="M315" s="29">
        <f t="shared" si="264"/>
        <v>0.85000000000000009</v>
      </c>
      <c r="N315" s="188">
        <f>M315*K315</f>
        <v>103.411</v>
      </c>
      <c r="O315" s="53">
        <f>N315+J315</f>
        <v>103.9091</v>
      </c>
      <c r="P315" s="86"/>
    </row>
    <row r="316" spans="1:16" x14ac:dyDescent="0.3">
      <c r="A316" s="32"/>
      <c r="B316" s="131"/>
      <c r="C316" s="15"/>
      <c r="D316" s="26" t="s">
        <v>259</v>
      </c>
      <c r="E316" s="71">
        <f>ROUNDUP(E311/9.2,0)+ROUNDUP(E311*12%,0)</f>
        <v>17</v>
      </c>
      <c r="F316" s="1">
        <v>0</v>
      </c>
      <c r="G316" s="78">
        <f t="shared" si="261"/>
        <v>17</v>
      </c>
      <c r="H316" s="5" t="s">
        <v>11</v>
      </c>
      <c r="I316" s="9">
        <v>5.7700000000000001E-2</v>
      </c>
      <c r="J316" s="188">
        <f t="shared" si="262"/>
        <v>0.98089999999999999</v>
      </c>
      <c r="K316" s="9">
        <f>$K$5</f>
        <v>121.66</v>
      </c>
      <c r="L316" s="29">
        <v>0.02</v>
      </c>
      <c r="M316" s="29">
        <f t="shared" si="264"/>
        <v>0.34</v>
      </c>
      <c r="N316" s="188">
        <f>M316*K316</f>
        <v>41.364400000000003</v>
      </c>
      <c r="O316" s="53">
        <f>N316+J316</f>
        <v>42.345300000000002</v>
      </c>
      <c r="P316" s="86"/>
    </row>
    <row r="317" spans="1:16" s="30" customFormat="1" x14ac:dyDescent="0.3">
      <c r="A317" s="25">
        <v>2</v>
      </c>
      <c r="B317" s="14"/>
      <c r="C317" s="14"/>
      <c r="D317" s="26" t="s">
        <v>291</v>
      </c>
      <c r="E317" s="232">
        <v>148</v>
      </c>
      <c r="F317" s="27">
        <v>0</v>
      </c>
      <c r="G317" s="28">
        <f t="shared" si="261"/>
        <v>148</v>
      </c>
      <c r="H317" s="28" t="s">
        <v>9</v>
      </c>
      <c r="I317" s="45">
        <f>346.41/100</f>
        <v>3.4641000000000002</v>
      </c>
      <c r="J317" s="297">
        <f t="shared" si="262"/>
        <v>512.68680000000006</v>
      </c>
      <c r="K317" s="9">
        <f t="shared" ref="K317:K323" si="267">$K$5</f>
        <v>121.66</v>
      </c>
      <c r="L317" s="303">
        <v>0.06</v>
      </c>
      <c r="M317" s="292">
        <f t="shared" si="264"/>
        <v>8.879999999999999</v>
      </c>
      <c r="N317" s="297">
        <f t="shared" ref="N317:N323" si="268">M317*K317</f>
        <v>1080.3407999999999</v>
      </c>
      <c r="O317" s="302">
        <f t="shared" ref="O317:O323" si="269">N317+J317</f>
        <v>1593.0275999999999</v>
      </c>
      <c r="P317" s="303"/>
    </row>
    <row r="318" spans="1:16" s="30" customFormat="1" x14ac:dyDescent="0.3">
      <c r="A318" s="25"/>
      <c r="B318" s="14"/>
      <c r="C318" s="14"/>
      <c r="D318" s="26" t="s">
        <v>292</v>
      </c>
      <c r="E318" s="71">
        <f>ROUNDUP(E317*4%,0)</f>
        <v>6</v>
      </c>
      <c r="F318" s="304">
        <v>0</v>
      </c>
      <c r="G318" s="305">
        <f t="shared" si="261"/>
        <v>6</v>
      </c>
      <c r="H318" s="305" t="s">
        <v>11</v>
      </c>
      <c r="I318" s="306">
        <v>0</v>
      </c>
      <c r="J318" s="307">
        <f t="shared" si="262"/>
        <v>0</v>
      </c>
      <c r="K318" s="9">
        <f t="shared" si="267"/>
        <v>121.66</v>
      </c>
      <c r="L318" s="308">
        <v>0.2</v>
      </c>
      <c r="M318" s="309">
        <f t="shared" si="264"/>
        <v>1.2000000000000002</v>
      </c>
      <c r="N318" s="307">
        <f t="shared" si="268"/>
        <v>145.99200000000002</v>
      </c>
      <c r="O318" s="310">
        <f t="shared" si="269"/>
        <v>145.99200000000002</v>
      </c>
      <c r="P318" s="308"/>
    </row>
    <row r="319" spans="1:16" s="30" customFormat="1" x14ac:dyDescent="0.3">
      <c r="A319" s="25"/>
      <c r="B319" s="14"/>
      <c r="C319" s="14"/>
      <c r="D319" s="26" t="s">
        <v>293</v>
      </c>
      <c r="E319" s="71">
        <f>ROUNDUP(E317/9.2,0)+ROUNDUP(E317*4%,0)</f>
        <v>23</v>
      </c>
      <c r="F319" s="304">
        <v>0</v>
      </c>
      <c r="G319" s="305">
        <f t="shared" si="261"/>
        <v>23</v>
      </c>
      <c r="H319" s="305" t="s">
        <v>11</v>
      </c>
      <c r="I319" s="306">
        <v>1.7706</v>
      </c>
      <c r="J319" s="307">
        <f t="shared" si="262"/>
        <v>40.723799999999997</v>
      </c>
      <c r="K319" s="9">
        <f t="shared" si="267"/>
        <v>121.66</v>
      </c>
      <c r="L319" s="308">
        <v>0.04</v>
      </c>
      <c r="M319" s="309">
        <f t="shared" si="264"/>
        <v>0.92</v>
      </c>
      <c r="N319" s="307">
        <f t="shared" si="268"/>
        <v>111.9272</v>
      </c>
      <c r="O319" s="310">
        <f t="shared" si="269"/>
        <v>152.65100000000001</v>
      </c>
      <c r="P319" s="308"/>
    </row>
    <row r="320" spans="1:16" s="30" customFormat="1" x14ac:dyDescent="0.3">
      <c r="A320" s="25"/>
      <c r="B320" s="14"/>
      <c r="C320" s="14"/>
      <c r="D320" s="26" t="s">
        <v>274</v>
      </c>
      <c r="E320" s="71">
        <f>ROUNDUP(E317*4%,0)</f>
        <v>6</v>
      </c>
      <c r="F320" s="304">
        <v>0</v>
      </c>
      <c r="G320" s="305">
        <f t="shared" si="261"/>
        <v>6</v>
      </c>
      <c r="H320" s="305" t="s">
        <v>11</v>
      </c>
      <c r="I320" s="306">
        <v>52.38</v>
      </c>
      <c r="J320" s="307">
        <f t="shared" si="262"/>
        <v>314.28000000000003</v>
      </c>
      <c r="K320" s="9">
        <f t="shared" si="267"/>
        <v>121.66</v>
      </c>
      <c r="L320" s="311">
        <v>0.36000000000000004</v>
      </c>
      <c r="M320" s="309">
        <f t="shared" si="264"/>
        <v>2.16</v>
      </c>
      <c r="N320" s="307">
        <f t="shared" si="268"/>
        <v>262.78559999999999</v>
      </c>
      <c r="O320" s="310">
        <f t="shared" si="269"/>
        <v>577.06560000000002</v>
      </c>
      <c r="P320" s="311"/>
    </row>
    <row r="321" spans="1:16" s="30" customFormat="1" x14ac:dyDescent="0.3">
      <c r="A321" s="25"/>
      <c r="B321" s="14"/>
      <c r="C321" s="14"/>
      <c r="D321" s="26" t="s">
        <v>275</v>
      </c>
      <c r="E321" s="71">
        <f>ROUNDUP(E317*4%,0)</f>
        <v>6</v>
      </c>
      <c r="F321" s="304">
        <v>0</v>
      </c>
      <c r="G321" s="305">
        <f t="shared" si="261"/>
        <v>6</v>
      </c>
      <c r="H321" s="305" t="s">
        <v>11</v>
      </c>
      <c r="I321" s="306">
        <v>13.82</v>
      </c>
      <c r="J321" s="307">
        <f t="shared" si="262"/>
        <v>82.92</v>
      </c>
      <c r="K321" s="9">
        <f t="shared" si="267"/>
        <v>121.66</v>
      </c>
      <c r="L321" s="311">
        <v>4.8000000000000001E-2</v>
      </c>
      <c r="M321" s="309">
        <f t="shared" si="264"/>
        <v>0.28800000000000003</v>
      </c>
      <c r="N321" s="307">
        <f t="shared" si="268"/>
        <v>35.038080000000001</v>
      </c>
      <c r="O321" s="310">
        <f t="shared" si="269"/>
        <v>117.95808</v>
      </c>
      <c r="P321" s="311"/>
    </row>
    <row r="322" spans="1:16" s="30" customFormat="1" x14ac:dyDescent="0.3">
      <c r="A322" s="25"/>
      <c r="B322" s="14"/>
      <c r="C322" s="14"/>
      <c r="D322" s="26" t="s">
        <v>258</v>
      </c>
      <c r="E322" s="71">
        <f>ROUNDUP(E317/9.2,0)+ROUNDUP(E317*12%,0)</f>
        <v>35</v>
      </c>
      <c r="F322" s="304">
        <v>0</v>
      </c>
      <c r="G322" s="305">
        <f t="shared" si="261"/>
        <v>35</v>
      </c>
      <c r="H322" s="305" t="s">
        <v>11</v>
      </c>
      <c r="I322" s="306">
        <v>2.93E-2</v>
      </c>
      <c r="J322" s="307">
        <f t="shared" si="262"/>
        <v>1.0255000000000001</v>
      </c>
      <c r="K322" s="9">
        <f t="shared" si="267"/>
        <v>121.66</v>
      </c>
      <c r="L322" s="311">
        <v>4.8000000000000001E-2</v>
      </c>
      <c r="M322" s="309">
        <f t="shared" si="264"/>
        <v>1.68</v>
      </c>
      <c r="N322" s="307">
        <f t="shared" si="268"/>
        <v>204.38879999999997</v>
      </c>
      <c r="O322" s="310">
        <f t="shared" si="269"/>
        <v>205.41429999999997</v>
      </c>
      <c r="P322" s="311"/>
    </row>
    <row r="323" spans="1:16" s="30" customFormat="1" x14ac:dyDescent="0.3">
      <c r="A323" s="25"/>
      <c r="B323" s="14"/>
      <c r="C323" s="14"/>
      <c r="D323" s="26" t="s">
        <v>259</v>
      </c>
      <c r="E323" s="71">
        <f>ROUNDUP(E317/9.2,0)+ROUNDUP(E317*12%,0)</f>
        <v>35</v>
      </c>
      <c r="F323" s="304">
        <v>0</v>
      </c>
      <c r="G323" s="305">
        <f t="shared" si="261"/>
        <v>35</v>
      </c>
      <c r="H323" s="305" t="s">
        <v>11</v>
      </c>
      <c r="I323" s="306">
        <v>5.7700000000000001E-2</v>
      </c>
      <c r="J323" s="307">
        <f t="shared" si="262"/>
        <v>2.0194999999999999</v>
      </c>
      <c r="K323" s="9">
        <f t="shared" si="267"/>
        <v>121.66</v>
      </c>
      <c r="L323" s="311">
        <v>2.4E-2</v>
      </c>
      <c r="M323" s="309">
        <f t="shared" si="264"/>
        <v>0.84</v>
      </c>
      <c r="N323" s="307">
        <f t="shared" si="268"/>
        <v>102.19439999999999</v>
      </c>
      <c r="O323" s="310">
        <f t="shared" si="269"/>
        <v>104.21389999999998</v>
      </c>
      <c r="P323" s="311"/>
    </row>
    <row r="324" spans="1:16" s="30" customFormat="1" ht="15" thickBot="1" x14ac:dyDescent="0.35">
      <c r="A324" s="25"/>
      <c r="B324" s="14"/>
      <c r="C324" s="14"/>
      <c r="D324" s="26"/>
      <c r="E324" s="71"/>
      <c r="F324" s="1"/>
      <c r="G324" s="78"/>
      <c r="H324" s="5"/>
      <c r="I324" s="9"/>
      <c r="J324" s="188"/>
      <c r="K324" s="9"/>
      <c r="L324" s="29"/>
      <c r="M324" s="29"/>
      <c r="N324" s="188"/>
      <c r="O324" s="54"/>
      <c r="P324" s="86"/>
    </row>
    <row r="325" spans="1:16" ht="20.100000000000001" customHeight="1" thickBot="1" x14ac:dyDescent="0.35">
      <c r="A325" s="364" t="s">
        <v>10</v>
      </c>
      <c r="B325" s="365"/>
      <c r="C325" s="365"/>
      <c r="D325" s="366"/>
      <c r="E325" s="74"/>
      <c r="F325" s="1"/>
      <c r="G325" s="78"/>
      <c r="H325" s="2"/>
      <c r="I325" s="11"/>
      <c r="J325" s="187"/>
      <c r="K325" s="4"/>
      <c r="L325" s="3"/>
      <c r="M325" s="3"/>
      <c r="N325" s="4"/>
      <c r="O325" s="52"/>
      <c r="P325" s="86"/>
    </row>
    <row r="326" spans="1:16" s="237" customFormat="1" x14ac:dyDescent="0.3">
      <c r="A326" s="228">
        <v>1</v>
      </c>
      <c r="B326" s="248"/>
      <c r="C326" s="230"/>
      <c r="D326" s="231" t="s">
        <v>192</v>
      </c>
      <c r="E326" s="232">
        <v>216</v>
      </c>
      <c r="F326" s="1">
        <v>0.1</v>
      </c>
      <c r="G326" s="78">
        <f>E326+(E326*F326)</f>
        <v>237.6</v>
      </c>
      <c r="H326" s="5" t="s">
        <v>9</v>
      </c>
      <c r="I326" s="233">
        <v>0.14299999999999999</v>
      </c>
      <c r="J326" s="234">
        <f>I326*G326</f>
        <v>33.976799999999997</v>
      </c>
      <c r="K326" s="233">
        <f>$K$5</f>
        <v>121.66</v>
      </c>
      <c r="L326" s="235">
        <v>3.2000000000000002E-3</v>
      </c>
      <c r="M326" s="235">
        <f t="shared" ref="M326" si="270">L326*G326</f>
        <v>0.76032</v>
      </c>
      <c r="N326" s="234">
        <f t="shared" ref="N326" si="271">M326*K326</f>
        <v>92.500531199999998</v>
      </c>
      <c r="O326" s="270">
        <f t="shared" ref="O326" si="272">N326+J326</f>
        <v>126.47733119999999</v>
      </c>
      <c r="P326" s="236"/>
    </row>
    <row r="327" spans="1:16" s="237" customFormat="1" ht="15" thickBot="1" x14ac:dyDescent="0.35">
      <c r="A327" s="256"/>
      <c r="B327" s="271"/>
      <c r="C327" s="271"/>
      <c r="D327" s="272"/>
      <c r="E327" s="273"/>
      <c r="F327" s="18"/>
      <c r="G327" s="183"/>
      <c r="H327" s="19"/>
      <c r="I327" s="11"/>
      <c r="J327" s="187"/>
      <c r="K327" s="4"/>
      <c r="L327" s="3"/>
      <c r="M327" s="3"/>
      <c r="N327" s="4"/>
      <c r="O327" s="52"/>
      <c r="P327" s="236"/>
    </row>
    <row r="328" spans="1:16" s="237" customFormat="1" ht="20.100000000000001" customHeight="1" thickBot="1" x14ac:dyDescent="0.35">
      <c r="A328" s="367" t="s">
        <v>17</v>
      </c>
      <c r="B328" s="368"/>
      <c r="C328" s="368"/>
      <c r="D328" s="369" t="s">
        <v>17</v>
      </c>
      <c r="E328" s="267"/>
      <c r="F328" s="1"/>
      <c r="G328" s="78"/>
      <c r="H328" s="2"/>
      <c r="I328" s="11"/>
      <c r="J328" s="187"/>
      <c r="K328" s="4"/>
      <c r="L328" s="3"/>
      <c r="M328" s="3"/>
      <c r="N328" s="4"/>
      <c r="O328" s="52"/>
      <c r="P328" s="236"/>
    </row>
    <row r="329" spans="1:16" s="237" customFormat="1" x14ac:dyDescent="0.3">
      <c r="A329" s="228">
        <v>1</v>
      </c>
      <c r="B329" s="248"/>
      <c r="C329" s="230"/>
      <c r="D329" s="243" t="s">
        <v>187</v>
      </c>
      <c r="E329" s="72">
        <v>2</v>
      </c>
      <c r="F329" s="1">
        <v>0</v>
      </c>
      <c r="G329" s="78">
        <f t="shared" ref="G329:G331" si="273">E329+(E329*F329)</f>
        <v>2</v>
      </c>
      <c r="H329" s="5" t="s">
        <v>11</v>
      </c>
      <c r="I329" s="300"/>
      <c r="J329" s="188">
        <f t="shared" ref="J329:J330" si="274">I329*G329</f>
        <v>0</v>
      </c>
      <c r="K329" s="9">
        <f t="shared" ref="K329:K336" si="275">$K$5</f>
        <v>121.66</v>
      </c>
      <c r="L329" s="31">
        <v>0.5</v>
      </c>
      <c r="M329" s="235">
        <f t="shared" ref="M329:M330" si="276">L329*G329</f>
        <v>1</v>
      </c>
      <c r="N329" s="4">
        <f t="shared" ref="N329:N330" si="277">K329*M329</f>
        <v>121.66</v>
      </c>
      <c r="O329" s="52">
        <f t="shared" ref="O329:O330" si="278">J329+N329</f>
        <v>121.66</v>
      </c>
      <c r="P329" s="236"/>
    </row>
    <row r="330" spans="1:16" s="237" customFormat="1" x14ac:dyDescent="0.3">
      <c r="A330" s="228">
        <v>2</v>
      </c>
      <c r="B330" s="248"/>
      <c r="C330" s="230"/>
      <c r="D330" s="243" t="s">
        <v>188</v>
      </c>
      <c r="E330" s="72">
        <v>1</v>
      </c>
      <c r="F330" s="1">
        <v>0</v>
      </c>
      <c r="G330" s="78">
        <f t="shared" si="273"/>
        <v>1</v>
      </c>
      <c r="H330" s="5" t="s">
        <v>11</v>
      </c>
      <c r="I330" s="300"/>
      <c r="J330" s="188">
        <f t="shared" si="274"/>
        <v>0</v>
      </c>
      <c r="K330" s="9">
        <f t="shared" si="275"/>
        <v>121.66</v>
      </c>
      <c r="L330" s="31">
        <v>2</v>
      </c>
      <c r="M330" s="235">
        <f t="shared" si="276"/>
        <v>2</v>
      </c>
      <c r="N330" s="4">
        <f t="shared" si="277"/>
        <v>243.32</v>
      </c>
      <c r="O330" s="52">
        <f t="shared" si="278"/>
        <v>243.32</v>
      </c>
      <c r="P330" s="236"/>
    </row>
    <row r="331" spans="1:16" s="237" customFormat="1" x14ac:dyDescent="0.3">
      <c r="A331" s="228">
        <v>3</v>
      </c>
      <c r="B331" s="248"/>
      <c r="C331" s="229"/>
      <c r="D331" s="243" t="s">
        <v>189</v>
      </c>
      <c r="E331" s="72">
        <v>1</v>
      </c>
      <c r="F331" s="1">
        <v>0</v>
      </c>
      <c r="G331" s="78">
        <f t="shared" si="273"/>
        <v>1</v>
      </c>
      <c r="H331" s="5" t="s">
        <v>11</v>
      </c>
      <c r="I331" s="300"/>
      <c r="J331" s="188">
        <f>I331*G331</f>
        <v>0</v>
      </c>
      <c r="K331" s="9">
        <f t="shared" si="275"/>
        <v>121.66</v>
      </c>
      <c r="L331" s="31">
        <v>0.5</v>
      </c>
      <c r="M331" s="235">
        <f>L331*G331</f>
        <v>0.5</v>
      </c>
      <c r="N331" s="4">
        <f>K331*M331</f>
        <v>60.83</v>
      </c>
      <c r="O331" s="52">
        <f>J331+N331</f>
        <v>60.83</v>
      </c>
      <c r="P331" s="236"/>
    </row>
    <row r="332" spans="1:16" s="237" customFormat="1" x14ac:dyDescent="0.3">
      <c r="A332" s="228">
        <v>4</v>
      </c>
      <c r="B332" s="248"/>
      <c r="C332" s="274"/>
      <c r="D332" s="251" t="s">
        <v>203</v>
      </c>
      <c r="E332" s="72">
        <v>2</v>
      </c>
      <c r="F332" s="1">
        <v>0</v>
      </c>
      <c r="G332" s="78">
        <f>E332+(E332*F332)</f>
        <v>2</v>
      </c>
      <c r="H332" s="5" t="s">
        <v>11</v>
      </c>
      <c r="I332" s="300"/>
      <c r="J332" s="188">
        <f>I332*G332</f>
        <v>0</v>
      </c>
      <c r="K332" s="9">
        <f t="shared" si="275"/>
        <v>121.66</v>
      </c>
      <c r="L332" s="31">
        <v>0.5</v>
      </c>
      <c r="M332" s="235">
        <f>L332*G332</f>
        <v>1</v>
      </c>
      <c r="N332" s="4">
        <f>K332*M332</f>
        <v>121.66</v>
      </c>
      <c r="O332" s="52">
        <f>J332+N332</f>
        <v>121.66</v>
      </c>
      <c r="P332" s="236"/>
    </row>
    <row r="333" spans="1:16" s="266" customFormat="1" x14ac:dyDescent="0.3">
      <c r="A333" s="228">
        <v>5</v>
      </c>
      <c r="B333" s="248"/>
      <c r="C333" s="230"/>
      <c r="D333" s="231" t="s">
        <v>190</v>
      </c>
      <c r="E333" s="232">
        <v>2</v>
      </c>
      <c r="F333" s="268">
        <v>0</v>
      </c>
      <c r="G333" s="78">
        <f t="shared" ref="G333:G335" si="279">E333+(E333*F333)</f>
        <v>2</v>
      </c>
      <c r="H333" s="5" t="s">
        <v>11</v>
      </c>
      <c r="I333" s="300"/>
      <c r="J333" s="188">
        <f>I333*G333</f>
        <v>0</v>
      </c>
      <c r="K333" s="9">
        <f t="shared" si="275"/>
        <v>121.66</v>
      </c>
      <c r="L333" s="31">
        <v>0.5</v>
      </c>
      <c r="M333" s="235">
        <f>L333*G333</f>
        <v>1</v>
      </c>
      <c r="N333" s="4">
        <f>K333*M333</f>
        <v>121.66</v>
      </c>
      <c r="O333" s="52">
        <f>J333+N333</f>
        <v>121.66</v>
      </c>
      <c r="P333" s="236"/>
    </row>
    <row r="334" spans="1:16" s="237" customFormat="1" x14ac:dyDescent="0.3">
      <c r="A334" s="228">
        <v>6</v>
      </c>
      <c r="B334" s="248"/>
      <c r="C334" s="230"/>
      <c r="D334" s="243" t="s">
        <v>204</v>
      </c>
      <c r="E334" s="72">
        <v>3</v>
      </c>
      <c r="F334" s="1">
        <v>0</v>
      </c>
      <c r="G334" s="78">
        <f t="shared" si="279"/>
        <v>3</v>
      </c>
      <c r="H334" s="5" t="s">
        <v>11</v>
      </c>
      <c r="I334" s="300"/>
      <c r="J334" s="188">
        <f t="shared" ref="J334:J335" si="280">I334*G334</f>
        <v>0</v>
      </c>
      <c r="K334" s="9">
        <f t="shared" si="275"/>
        <v>121.66</v>
      </c>
      <c r="L334" s="31">
        <v>1</v>
      </c>
      <c r="M334" s="235">
        <f t="shared" ref="M334:M335" si="281">L334*G334</f>
        <v>3</v>
      </c>
      <c r="N334" s="4">
        <f t="shared" ref="N334:N335" si="282">K334*M334</f>
        <v>364.98</v>
      </c>
      <c r="O334" s="52">
        <f t="shared" ref="O334:O335" si="283">J334+N334</f>
        <v>364.98</v>
      </c>
      <c r="P334" s="236"/>
    </row>
    <row r="335" spans="1:16" s="237" customFormat="1" x14ac:dyDescent="0.3">
      <c r="A335" s="228">
        <v>7</v>
      </c>
      <c r="B335" s="248"/>
      <c r="C335" s="230"/>
      <c r="D335" s="243" t="s">
        <v>191</v>
      </c>
      <c r="E335" s="72">
        <v>1</v>
      </c>
      <c r="F335" s="1">
        <v>0</v>
      </c>
      <c r="G335" s="78">
        <f t="shared" si="279"/>
        <v>1</v>
      </c>
      <c r="H335" s="5" t="s">
        <v>11</v>
      </c>
      <c r="I335" s="300"/>
      <c r="J335" s="188">
        <f t="shared" si="280"/>
        <v>0</v>
      </c>
      <c r="K335" s="9">
        <f t="shared" si="275"/>
        <v>121.66</v>
      </c>
      <c r="L335" s="31">
        <v>1</v>
      </c>
      <c r="M335" s="235">
        <f t="shared" si="281"/>
        <v>1</v>
      </c>
      <c r="N335" s="4">
        <f t="shared" si="282"/>
        <v>121.66</v>
      </c>
      <c r="O335" s="52">
        <f t="shared" si="283"/>
        <v>121.66</v>
      </c>
      <c r="P335" s="236"/>
    </row>
    <row r="336" spans="1:16" s="237" customFormat="1" x14ac:dyDescent="0.3">
      <c r="A336" s="228">
        <v>8</v>
      </c>
      <c r="B336" s="248"/>
      <c r="C336" s="230"/>
      <c r="D336" s="243" t="s">
        <v>186</v>
      </c>
      <c r="E336" s="72">
        <v>2</v>
      </c>
      <c r="F336" s="1">
        <v>0</v>
      </c>
      <c r="G336" s="78">
        <f>E336+(E336*F336)</f>
        <v>2</v>
      </c>
      <c r="H336" s="5" t="s">
        <v>11</v>
      </c>
      <c r="I336" s="4">
        <v>25.77</v>
      </c>
      <c r="J336" s="234">
        <f>I336*G336</f>
        <v>51.54</v>
      </c>
      <c r="K336" s="233">
        <f t="shared" si="275"/>
        <v>121.66</v>
      </c>
      <c r="L336" s="3">
        <v>0.5</v>
      </c>
      <c r="M336" s="235">
        <f>L336*G336</f>
        <v>1</v>
      </c>
      <c r="N336" s="4">
        <f>K336*M336</f>
        <v>121.66</v>
      </c>
      <c r="O336" s="52">
        <f>J336+N336</f>
        <v>173.2</v>
      </c>
      <c r="P336" s="236"/>
    </row>
    <row r="337" spans="1:16" s="30" customFormat="1" ht="15" thickBot="1" x14ac:dyDescent="0.35">
      <c r="A337" s="25"/>
      <c r="B337" s="50"/>
      <c r="C337" s="50"/>
      <c r="D337" s="65"/>
      <c r="E337" s="126"/>
      <c r="F337" s="64"/>
      <c r="G337" s="182"/>
      <c r="H337" s="63"/>
      <c r="I337" s="67"/>
      <c r="J337" s="189"/>
      <c r="K337" s="67"/>
      <c r="L337" s="68"/>
      <c r="M337" s="68"/>
      <c r="N337" s="188"/>
      <c r="O337" s="51"/>
      <c r="P337" s="70"/>
    </row>
    <row r="338" spans="1:16" s="90" customFormat="1" ht="16.2" thickBot="1" x14ac:dyDescent="0.35">
      <c r="A338" s="59"/>
      <c r="B338" s="60"/>
      <c r="C338" s="60"/>
      <c r="D338" s="88"/>
      <c r="E338" s="127"/>
      <c r="F338" s="61"/>
      <c r="G338" s="370" t="s">
        <v>37</v>
      </c>
      <c r="H338" s="371"/>
      <c r="I338" s="185">
        <f>SUM(J310:J337)</f>
        <v>1200.2110600000001</v>
      </c>
      <c r="J338" s="372" t="s">
        <v>38</v>
      </c>
      <c r="K338" s="373"/>
      <c r="L338" s="194">
        <f>SUM(N310:N337)</f>
        <v>4403.1576511999992</v>
      </c>
      <c r="M338" s="117"/>
      <c r="N338" s="191"/>
      <c r="O338" s="62"/>
      <c r="P338" s="89">
        <f>SUM(O310:O337)</f>
        <v>5603.368711199998</v>
      </c>
    </row>
    <row r="339" spans="1:16" ht="15" thickBot="1" x14ac:dyDescent="0.35">
      <c r="A339" s="91"/>
      <c r="B339" s="92"/>
      <c r="C339" s="93"/>
      <c r="D339" s="10"/>
      <c r="E339" s="128"/>
      <c r="F339" s="21"/>
      <c r="G339" s="182"/>
      <c r="H339" s="22"/>
      <c r="I339" s="11"/>
      <c r="J339" s="4"/>
      <c r="K339" s="4"/>
      <c r="L339" s="3"/>
      <c r="M339" s="66"/>
      <c r="N339" s="4"/>
      <c r="O339" s="52"/>
      <c r="P339" s="70"/>
    </row>
    <row r="340" spans="1:16" ht="30" customHeight="1" thickBot="1" x14ac:dyDescent="0.35">
      <c r="A340" s="322" t="s">
        <v>177</v>
      </c>
      <c r="B340" s="323"/>
      <c r="C340" s="323"/>
      <c r="D340" s="323"/>
      <c r="E340" s="323"/>
      <c r="F340" s="323"/>
      <c r="G340" s="323"/>
      <c r="H340" s="324"/>
      <c r="I340" s="20"/>
      <c r="J340" s="4"/>
      <c r="K340" s="4"/>
      <c r="L340" s="3"/>
      <c r="M340" s="3"/>
      <c r="N340" s="4"/>
      <c r="O340" s="52"/>
      <c r="P340" s="70"/>
    </row>
    <row r="341" spans="1:16" ht="20.100000000000001" customHeight="1" thickBot="1" x14ac:dyDescent="0.35">
      <c r="A341" s="364" t="s">
        <v>8</v>
      </c>
      <c r="B341" s="365"/>
      <c r="C341" s="365"/>
      <c r="D341" s="366"/>
      <c r="E341" s="74"/>
      <c r="F341" s="1"/>
      <c r="G341" s="78"/>
      <c r="H341" s="2"/>
      <c r="I341" s="11"/>
      <c r="J341" s="187"/>
      <c r="K341" s="4"/>
      <c r="L341" s="3"/>
      <c r="M341" s="3"/>
      <c r="N341" s="4"/>
      <c r="O341" s="52"/>
      <c r="P341" s="70"/>
    </row>
    <row r="342" spans="1:16" x14ac:dyDescent="0.3">
      <c r="A342" s="32">
        <v>1</v>
      </c>
      <c r="B342" s="131"/>
      <c r="C342" s="15"/>
      <c r="D342" s="26" t="s">
        <v>254</v>
      </c>
      <c r="E342" s="71">
        <v>9</v>
      </c>
      <c r="F342" s="1">
        <v>0.1</v>
      </c>
      <c r="G342" s="78">
        <f t="shared" ref="G342:G347" si="284">E342+(E342*F342)</f>
        <v>9.9</v>
      </c>
      <c r="H342" s="5" t="s">
        <v>9</v>
      </c>
      <c r="I342" s="9">
        <f>101.92/100</f>
        <v>1.0192000000000001</v>
      </c>
      <c r="J342" s="188">
        <f t="shared" ref="J342:J347" si="285">I342*G342</f>
        <v>10.090080000000002</v>
      </c>
      <c r="K342" s="9">
        <f t="shared" ref="K342" si="286">$K$5</f>
        <v>121.66</v>
      </c>
      <c r="L342" s="29">
        <v>0.05</v>
      </c>
      <c r="M342" s="29">
        <f t="shared" ref="M342:M347" si="287">L342*G342</f>
        <v>0.49500000000000005</v>
      </c>
      <c r="N342" s="188">
        <f t="shared" ref="N342" si="288">M342*K342</f>
        <v>60.221700000000006</v>
      </c>
      <c r="O342" s="53">
        <f t="shared" ref="O342" si="289">N342+J342</f>
        <v>70.311780000000013</v>
      </c>
      <c r="P342" s="86"/>
    </row>
    <row r="343" spans="1:16" x14ac:dyDescent="0.3">
      <c r="A343" s="32"/>
      <c r="B343" s="131"/>
      <c r="C343" s="15"/>
      <c r="D343" s="26" t="s">
        <v>255</v>
      </c>
      <c r="E343" s="71">
        <f>ROUNDUP(E342*8%,0)</f>
        <v>1</v>
      </c>
      <c r="F343" s="1">
        <v>0</v>
      </c>
      <c r="G343" s="78">
        <f t="shared" si="284"/>
        <v>1</v>
      </c>
      <c r="H343" s="5" t="s">
        <v>11</v>
      </c>
      <c r="I343" s="9">
        <v>0.69</v>
      </c>
      <c r="J343" s="188">
        <f t="shared" si="285"/>
        <v>0.69</v>
      </c>
      <c r="K343" s="9">
        <f>$K$5</f>
        <v>121.66</v>
      </c>
      <c r="L343" s="29">
        <v>0.3</v>
      </c>
      <c r="M343" s="29">
        <f t="shared" si="287"/>
        <v>0.3</v>
      </c>
      <c r="N343" s="188">
        <f>M343*K343</f>
        <v>36.497999999999998</v>
      </c>
      <c r="O343" s="53">
        <f>N343+J343</f>
        <v>37.187999999999995</v>
      </c>
      <c r="P343" s="86"/>
    </row>
    <row r="344" spans="1:16" x14ac:dyDescent="0.3">
      <c r="A344" s="32"/>
      <c r="B344" s="131"/>
      <c r="C344" s="15"/>
      <c r="D344" s="26" t="s">
        <v>256</v>
      </c>
      <c r="E344" s="71">
        <f>ROUNDUP(E342/10,0)</f>
        <v>1</v>
      </c>
      <c r="F344" s="1">
        <v>0</v>
      </c>
      <c r="G344" s="78">
        <f t="shared" si="284"/>
        <v>1</v>
      </c>
      <c r="H344" s="5" t="s">
        <v>11</v>
      </c>
      <c r="I344" s="9">
        <v>0.69</v>
      </c>
      <c r="J344" s="188">
        <f t="shared" si="285"/>
        <v>0.69</v>
      </c>
      <c r="K344" s="9">
        <f>$K$5</f>
        <v>121.66</v>
      </c>
      <c r="L344" s="29">
        <v>0.14000000000000001</v>
      </c>
      <c r="M344" s="29">
        <f t="shared" si="287"/>
        <v>0.14000000000000001</v>
      </c>
      <c r="N344" s="188">
        <f>M344*K344</f>
        <v>17.032400000000003</v>
      </c>
      <c r="O344" s="53">
        <f>N344+J344</f>
        <v>17.722400000000004</v>
      </c>
      <c r="P344" s="86"/>
    </row>
    <row r="345" spans="1:16" x14ac:dyDescent="0.3">
      <c r="A345" s="32"/>
      <c r="B345" s="131"/>
      <c r="C345" s="15"/>
      <c r="D345" s="26" t="s">
        <v>257</v>
      </c>
      <c r="E345" s="71">
        <f>ROUNDUP(E342/9.2,0)+ROUNDUP(E342*4%,0)</f>
        <v>2</v>
      </c>
      <c r="F345" s="1">
        <v>0</v>
      </c>
      <c r="G345" s="78">
        <f t="shared" si="284"/>
        <v>2</v>
      </c>
      <c r="H345" s="5" t="s">
        <v>11</v>
      </c>
      <c r="I345" s="9">
        <v>1.0548</v>
      </c>
      <c r="J345" s="188">
        <f t="shared" si="285"/>
        <v>2.1095999999999999</v>
      </c>
      <c r="K345" s="9">
        <f>$K$5</f>
        <v>121.66</v>
      </c>
      <c r="L345" s="29">
        <v>0.04</v>
      </c>
      <c r="M345" s="29">
        <f t="shared" si="287"/>
        <v>0.08</v>
      </c>
      <c r="N345" s="188">
        <f>M345*K345</f>
        <v>9.7327999999999992</v>
      </c>
      <c r="O345" s="53">
        <f>N345+J345</f>
        <v>11.8424</v>
      </c>
      <c r="P345" s="86"/>
    </row>
    <row r="346" spans="1:16" x14ac:dyDescent="0.3">
      <c r="A346" s="32"/>
      <c r="B346" s="131"/>
      <c r="C346" s="15"/>
      <c r="D346" s="26" t="s">
        <v>258</v>
      </c>
      <c r="E346" s="71">
        <f>ROUNDUP(E342/9.2,0)+ROUNDUP(E342*12%,0)</f>
        <v>3</v>
      </c>
      <c r="F346" s="1">
        <v>0</v>
      </c>
      <c r="G346" s="78">
        <f t="shared" si="284"/>
        <v>3</v>
      </c>
      <c r="H346" s="5" t="s">
        <v>11</v>
      </c>
      <c r="I346" s="9">
        <v>2.93E-2</v>
      </c>
      <c r="J346" s="188">
        <f t="shared" si="285"/>
        <v>8.7900000000000006E-2</v>
      </c>
      <c r="K346" s="9">
        <f>$K$5</f>
        <v>121.66</v>
      </c>
      <c r="L346" s="29">
        <v>0.05</v>
      </c>
      <c r="M346" s="29">
        <f t="shared" si="287"/>
        <v>0.15000000000000002</v>
      </c>
      <c r="N346" s="188">
        <f>M346*K346</f>
        <v>18.249000000000002</v>
      </c>
      <c r="O346" s="53">
        <f>N346+J346</f>
        <v>18.336900000000004</v>
      </c>
      <c r="P346" s="86"/>
    </row>
    <row r="347" spans="1:16" x14ac:dyDescent="0.3">
      <c r="A347" s="32"/>
      <c r="B347" s="131"/>
      <c r="C347" s="15"/>
      <c r="D347" s="26" t="s">
        <v>259</v>
      </c>
      <c r="E347" s="71">
        <f>ROUNDUP(E342/9.2,0)+ROUNDUP(E342*12%,0)</f>
        <v>3</v>
      </c>
      <c r="F347" s="1">
        <v>0</v>
      </c>
      <c r="G347" s="78">
        <f t="shared" si="284"/>
        <v>3</v>
      </c>
      <c r="H347" s="5" t="s">
        <v>11</v>
      </c>
      <c r="I347" s="9">
        <v>5.7700000000000001E-2</v>
      </c>
      <c r="J347" s="188">
        <f t="shared" si="285"/>
        <v>0.1731</v>
      </c>
      <c r="K347" s="9">
        <f>$K$5</f>
        <v>121.66</v>
      </c>
      <c r="L347" s="29">
        <v>0.02</v>
      </c>
      <c r="M347" s="29">
        <f t="shared" si="287"/>
        <v>0.06</v>
      </c>
      <c r="N347" s="188">
        <f>M347*K347</f>
        <v>7.2995999999999999</v>
      </c>
      <c r="O347" s="53">
        <f>N347+J347</f>
        <v>7.4726999999999997</v>
      </c>
      <c r="P347" s="86"/>
    </row>
    <row r="348" spans="1:16" s="30" customFormat="1" ht="15" thickBot="1" x14ac:dyDescent="0.35">
      <c r="A348" s="25"/>
      <c r="B348" s="14"/>
      <c r="C348" s="14"/>
      <c r="D348" s="26"/>
      <c r="E348" s="71"/>
      <c r="F348" s="1"/>
      <c r="G348" s="78"/>
      <c r="H348" s="5"/>
      <c r="I348" s="9"/>
      <c r="J348" s="188"/>
      <c r="K348" s="9"/>
      <c r="L348" s="29"/>
      <c r="M348" s="29"/>
      <c r="N348" s="188"/>
      <c r="O348" s="54"/>
      <c r="P348" s="86"/>
    </row>
    <row r="349" spans="1:16" ht="20.100000000000001" customHeight="1" thickBot="1" x14ac:dyDescent="0.35">
      <c r="A349" s="364" t="s">
        <v>10</v>
      </c>
      <c r="B349" s="365"/>
      <c r="C349" s="365"/>
      <c r="D349" s="366"/>
      <c r="E349" s="74"/>
      <c r="F349" s="1"/>
      <c r="G349" s="78"/>
      <c r="H349" s="2"/>
      <c r="I349" s="11"/>
      <c r="J349" s="187"/>
      <c r="K349" s="4"/>
      <c r="L349" s="3"/>
      <c r="M349" s="3"/>
      <c r="N349" s="4"/>
      <c r="O349" s="52"/>
      <c r="P349" s="86"/>
    </row>
    <row r="350" spans="1:16" x14ac:dyDescent="0.3">
      <c r="A350" s="32">
        <v>1</v>
      </c>
      <c r="B350" s="131"/>
      <c r="C350" s="15"/>
      <c r="D350" s="26" t="s">
        <v>144</v>
      </c>
      <c r="E350" s="71">
        <v>27</v>
      </c>
      <c r="F350" s="1">
        <v>0.1</v>
      </c>
      <c r="G350" s="78">
        <f>E350+(E350*F350)</f>
        <v>29.7</v>
      </c>
      <c r="H350" s="5" t="s">
        <v>9</v>
      </c>
      <c r="I350" s="9">
        <f>147.5/1000</f>
        <v>0.14749999999999999</v>
      </c>
      <c r="J350" s="188">
        <f>I350*G350</f>
        <v>4.3807499999999999</v>
      </c>
      <c r="K350" s="9">
        <f>$K$5</f>
        <v>121.66</v>
      </c>
      <c r="L350" s="29">
        <v>6.0000000000000001E-3</v>
      </c>
      <c r="M350" s="29">
        <f t="shared" ref="M350:M351" si="290">L350*G350</f>
        <v>0.1782</v>
      </c>
      <c r="N350" s="188">
        <f t="shared" ref="N350:N351" si="291">M350*K350</f>
        <v>21.679811999999998</v>
      </c>
      <c r="O350" s="53">
        <f t="shared" ref="O350:O351" si="292">N350+J350</f>
        <v>26.060561999999997</v>
      </c>
      <c r="P350" s="86"/>
    </row>
    <row r="351" spans="1:16" s="266" customFormat="1" x14ac:dyDescent="0.3">
      <c r="A351" s="258">
        <v>2</v>
      </c>
      <c r="B351" s="248"/>
      <c r="C351" s="229"/>
      <c r="D351" s="231" t="s">
        <v>185</v>
      </c>
      <c r="E351" s="232">
        <v>267</v>
      </c>
      <c r="F351" s="1">
        <v>0.1</v>
      </c>
      <c r="G351" s="78">
        <f t="shared" ref="G351" si="293">E351+(E351*F351)</f>
        <v>293.7</v>
      </c>
      <c r="H351" s="5" t="s">
        <v>9</v>
      </c>
      <c r="I351" s="293">
        <v>0.59799999999999998</v>
      </c>
      <c r="J351" s="291">
        <f t="shared" ref="J351" si="294">I351*G351</f>
        <v>175.6326</v>
      </c>
      <c r="K351" s="9">
        <f t="shared" ref="K351" si="295">$K$5</f>
        <v>121.66</v>
      </c>
      <c r="L351" s="283">
        <v>1.6199999999999999E-2</v>
      </c>
      <c r="M351" s="235">
        <f t="shared" si="290"/>
        <v>4.7579399999999996</v>
      </c>
      <c r="N351" s="234">
        <f t="shared" si="291"/>
        <v>578.85098039999991</v>
      </c>
      <c r="O351" s="269">
        <f t="shared" si="292"/>
        <v>754.48358039999994</v>
      </c>
      <c r="P351" s="236"/>
    </row>
    <row r="352" spans="1:16" s="237" customFormat="1" ht="15" thickBot="1" x14ac:dyDescent="0.35">
      <c r="A352" s="256"/>
      <c r="B352" s="271"/>
      <c r="C352" s="271"/>
      <c r="D352" s="272"/>
      <c r="E352" s="273"/>
      <c r="F352" s="18"/>
      <c r="G352" s="183"/>
      <c r="H352" s="19"/>
      <c r="I352" s="11"/>
      <c r="J352" s="187"/>
      <c r="K352" s="4"/>
      <c r="L352" s="3"/>
      <c r="M352" s="3"/>
      <c r="N352" s="4"/>
      <c r="O352" s="52"/>
      <c r="P352" s="236"/>
    </row>
    <row r="353" spans="1:16" s="237" customFormat="1" ht="20.100000000000001" customHeight="1" thickBot="1" x14ac:dyDescent="0.35">
      <c r="A353" s="367" t="s">
        <v>17</v>
      </c>
      <c r="B353" s="368"/>
      <c r="C353" s="368"/>
      <c r="D353" s="369" t="s">
        <v>17</v>
      </c>
      <c r="E353" s="267"/>
      <c r="F353" s="1"/>
      <c r="G353" s="78"/>
      <c r="H353" s="2"/>
      <c r="I353" s="11"/>
      <c r="J353" s="187"/>
      <c r="K353" s="4"/>
      <c r="L353" s="3"/>
      <c r="M353" s="3"/>
      <c r="N353" s="4"/>
      <c r="O353" s="52"/>
      <c r="P353" s="236"/>
    </row>
    <row r="354" spans="1:16" s="237" customFormat="1" ht="28.8" x14ac:dyDescent="0.3">
      <c r="A354" s="228">
        <v>1</v>
      </c>
      <c r="B354" s="248"/>
      <c r="C354" s="230"/>
      <c r="D354" s="243" t="s">
        <v>205</v>
      </c>
      <c r="E354" s="72">
        <v>1</v>
      </c>
      <c r="F354" s="1">
        <v>0</v>
      </c>
      <c r="G354" s="78">
        <f t="shared" ref="G354:G361" si="296">E354+(E354*F354)</f>
        <v>1</v>
      </c>
      <c r="H354" s="5" t="s">
        <v>11</v>
      </c>
      <c r="I354" s="300"/>
      <c r="J354" s="188">
        <f t="shared" ref="J354:J361" si="297">I354*G354</f>
        <v>0</v>
      </c>
      <c r="K354" s="9">
        <f t="shared" ref="K354:K361" si="298">$K$5</f>
        <v>121.66</v>
      </c>
      <c r="L354" s="31">
        <v>2</v>
      </c>
      <c r="M354" s="235">
        <f t="shared" ref="M354:M361" si="299">L354*G354</f>
        <v>2</v>
      </c>
      <c r="N354" s="4">
        <f t="shared" ref="N354:N361" si="300">K354*M354</f>
        <v>243.32</v>
      </c>
      <c r="O354" s="52">
        <f t="shared" ref="O354:O361" si="301">J354+N354</f>
        <v>243.32</v>
      </c>
      <c r="P354" s="236"/>
    </row>
    <row r="355" spans="1:16" s="237" customFormat="1" x14ac:dyDescent="0.3">
      <c r="A355" s="228">
        <v>2</v>
      </c>
      <c r="B355" s="248"/>
      <c r="C355" s="230"/>
      <c r="D355" s="243" t="s">
        <v>178</v>
      </c>
      <c r="E355" s="72">
        <v>3</v>
      </c>
      <c r="F355" s="1">
        <v>0</v>
      </c>
      <c r="G355" s="78">
        <f t="shared" ref="G355:G357" si="302">E355+(E355*F355)</f>
        <v>3</v>
      </c>
      <c r="H355" s="5" t="s">
        <v>11</v>
      </c>
      <c r="I355" s="300"/>
      <c r="J355" s="188">
        <f t="shared" ref="J355:J356" si="303">I355*G355</f>
        <v>0</v>
      </c>
      <c r="K355" s="9">
        <f t="shared" si="298"/>
        <v>121.66</v>
      </c>
      <c r="L355" s="31">
        <v>0.35</v>
      </c>
      <c r="M355" s="235">
        <f t="shared" ref="M355:M356" si="304">L355*G355</f>
        <v>1.0499999999999998</v>
      </c>
      <c r="N355" s="4">
        <f t="shared" ref="N355:N356" si="305">K355*M355</f>
        <v>127.74299999999998</v>
      </c>
      <c r="O355" s="52">
        <f t="shared" ref="O355:O356" si="306">J355+N355</f>
        <v>127.74299999999998</v>
      </c>
      <c r="P355" s="236"/>
    </row>
    <row r="356" spans="1:16" s="237" customFormat="1" x14ac:dyDescent="0.3">
      <c r="A356" s="228">
        <v>3</v>
      </c>
      <c r="B356" s="248"/>
      <c r="C356" s="230"/>
      <c r="D356" s="243" t="s">
        <v>179</v>
      </c>
      <c r="E356" s="72">
        <v>1</v>
      </c>
      <c r="F356" s="1">
        <v>0</v>
      </c>
      <c r="G356" s="78">
        <f t="shared" si="302"/>
        <v>1</v>
      </c>
      <c r="H356" s="5" t="s">
        <v>11</v>
      </c>
      <c r="I356" s="300"/>
      <c r="J356" s="188">
        <f t="shared" si="303"/>
        <v>0</v>
      </c>
      <c r="K356" s="9">
        <f t="shared" si="298"/>
        <v>121.66</v>
      </c>
      <c r="L356" s="31">
        <v>2</v>
      </c>
      <c r="M356" s="235">
        <f t="shared" si="304"/>
        <v>2</v>
      </c>
      <c r="N356" s="4">
        <f t="shared" si="305"/>
        <v>243.32</v>
      </c>
      <c r="O356" s="52">
        <f t="shared" si="306"/>
        <v>243.32</v>
      </c>
      <c r="P356" s="236"/>
    </row>
    <row r="357" spans="1:16" s="237" customFormat="1" x14ac:dyDescent="0.3">
      <c r="A357" s="228">
        <v>4</v>
      </c>
      <c r="B357" s="248"/>
      <c r="C357" s="229"/>
      <c r="D357" s="243" t="s">
        <v>180</v>
      </c>
      <c r="E357" s="72">
        <v>2</v>
      </c>
      <c r="F357" s="1">
        <v>0</v>
      </c>
      <c r="G357" s="78">
        <f t="shared" si="302"/>
        <v>2</v>
      </c>
      <c r="H357" s="5" t="s">
        <v>11</v>
      </c>
      <c r="I357" s="300"/>
      <c r="J357" s="188">
        <f>I357*G357</f>
        <v>0</v>
      </c>
      <c r="K357" s="9">
        <f t="shared" si="298"/>
        <v>121.66</v>
      </c>
      <c r="L357" s="31">
        <v>0.4</v>
      </c>
      <c r="M357" s="235">
        <f>L357*G357</f>
        <v>0.8</v>
      </c>
      <c r="N357" s="4">
        <f>K357*M357</f>
        <v>97.328000000000003</v>
      </c>
      <c r="O357" s="52">
        <f>J357+N357</f>
        <v>97.328000000000003</v>
      </c>
      <c r="P357" s="236"/>
    </row>
    <row r="358" spans="1:16" s="237" customFormat="1" x14ac:dyDescent="0.3">
      <c r="A358" s="228">
        <v>5</v>
      </c>
      <c r="B358" s="248"/>
      <c r="C358" s="274"/>
      <c r="D358" s="251" t="s">
        <v>181</v>
      </c>
      <c r="E358" s="72">
        <v>8</v>
      </c>
      <c r="F358" s="1">
        <v>0</v>
      </c>
      <c r="G358" s="78">
        <f>E358+(E358*F358)</f>
        <v>8</v>
      </c>
      <c r="H358" s="5" t="s">
        <v>11</v>
      </c>
      <c r="I358" s="300"/>
      <c r="J358" s="188">
        <f>I358*G358</f>
        <v>0</v>
      </c>
      <c r="K358" s="9">
        <f t="shared" si="298"/>
        <v>121.66</v>
      </c>
      <c r="L358" s="31">
        <v>0.3</v>
      </c>
      <c r="M358" s="235">
        <f>L358*G358</f>
        <v>2.4</v>
      </c>
      <c r="N358" s="4">
        <f>K358*M358</f>
        <v>291.98399999999998</v>
      </c>
      <c r="O358" s="52">
        <f>J358+N358</f>
        <v>291.98399999999998</v>
      </c>
      <c r="P358" s="236"/>
    </row>
    <row r="359" spans="1:16" s="266" customFormat="1" x14ac:dyDescent="0.3">
      <c r="A359" s="228">
        <v>6</v>
      </c>
      <c r="B359" s="248"/>
      <c r="C359" s="230"/>
      <c r="D359" s="231" t="s">
        <v>182</v>
      </c>
      <c r="E359" s="232">
        <v>3</v>
      </c>
      <c r="F359" s="268">
        <v>0</v>
      </c>
      <c r="G359" s="78">
        <f t="shared" ref="G359:G360" si="307">E359+(E359*F359)</f>
        <v>3</v>
      </c>
      <c r="H359" s="5" t="s">
        <v>11</v>
      </c>
      <c r="I359" s="300"/>
      <c r="J359" s="188">
        <f>I359*G359</f>
        <v>0</v>
      </c>
      <c r="K359" s="9">
        <f t="shared" si="298"/>
        <v>121.66</v>
      </c>
      <c r="L359" s="31">
        <v>0.35</v>
      </c>
      <c r="M359" s="235">
        <f>L359*G359</f>
        <v>1.0499999999999998</v>
      </c>
      <c r="N359" s="4">
        <f>K359*M359</f>
        <v>127.74299999999998</v>
      </c>
      <c r="O359" s="52">
        <f>J359+N359</f>
        <v>127.74299999999998</v>
      </c>
      <c r="P359" s="236"/>
    </row>
    <row r="360" spans="1:16" s="237" customFormat="1" x14ac:dyDescent="0.3">
      <c r="A360" s="228">
        <v>7</v>
      </c>
      <c r="B360" s="248"/>
      <c r="C360" s="230"/>
      <c r="D360" s="243" t="s">
        <v>183</v>
      </c>
      <c r="E360" s="72">
        <v>7</v>
      </c>
      <c r="F360" s="1">
        <v>0</v>
      </c>
      <c r="G360" s="78">
        <f t="shared" si="307"/>
        <v>7</v>
      </c>
      <c r="H360" s="5" t="s">
        <v>11</v>
      </c>
      <c r="I360" s="300"/>
      <c r="J360" s="188">
        <f t="shared" ref="J360" si="308">I360*G360</f>
        <v>0</v>
      </c>
      <c r="K360" s="9">
        <f t="shared" si="298"/>
        <v>121.66</v>
      </c>
      <c r="L360" s="31">
        <v>0.4</v>
      </c>
      <c r="M360" s="235">
        <f t="shared" ref="M360" si="309">L360*G360</f>
        <v>2.8000000000000003</v>
      </c>
      <c r="N360" s="4">
        <f t="shared" ref="N360" si="310">K360*M360</f>
        <v>340.64800000000002</v>
      </c>
      <c r="O360" s="52">
        <f t="shared" ref="O360" si="311">J360+N360</f>
        <v>340.64800000000002</v>
      </c>
      <c r="P360" s="236"/>
    </row>
    <row r="361" spans="1:16" s="237" customFormat="1" x14ac:dyDescent="0.3">
      <c r="A361" s="228">
        <v>8</v>
      </c>
      <c r="B361" s="248"/>
      <c r="C361" s="230"/>
      <c r="D361" s="243" t="s">
        <v>184</v>
      </c>
      <c r="E361" s="72">
        <v>1</v>
      </c>
      <c r="F361" s="1">
        <v>0</v>
      </c>
      <c r="G361" s="78">
        <f t="shared" si="296"/>
        <v>1</v>
      </c>
      <c r="H361" s="5" t="s">
        <v>11</v>
      </c>
      <c r="I361" s="300"/>
      <c r="J361" s="188">
        <f t="shared" si="297"/>
        <v>0</v>
      </c>
      <c r="K361" s="9">
        <f t="shared" si="298"/>
        <v>121.66</v>
      </c>
      <c r="L361" s="31">
        <v>2</v>
      </c>
      <c r="M361" s="235">
        <f t="shared" si="299"/>
        <v>2</v>
      </c>
      <c r="N361" s="4">
        <f t="shared" si="300"/>
        <v>243.32</v>
      </c>
      <c r="O361" s="52">
        <f t="shared" si="301"/>
        <v>243.32</v>
      </c>
      <c r="P361" s="236"/>
    </row>
    <row r="362" spans="1:16" s="266" customFormat="1" ht="15" thickBot="1" x14ac:dyDescent="0.35">
      <c r="A362" s="258"/>
      <c r="B362" s="259"/>
      <c r="C362" s="259"/>
      <c r="D362" s="239"/>
      <c r="E362" s="260"/>
      <c r="F362" s="261"/>
      <c r="G362" s="182"/>
      <c r="H362" s="63"/>
      <c r="I362" s="262"/>
      <c r="J362" s="263"/>
      <c r="K362" s="262"/>
      <c r="L362" s="264"/>
      <c r="M362" s="264"/>
      <c r="N362" s="234"/>
      <c r="O362" s="51"/>
      <c r="P362" s="265"/>
    </row>
    <row r="363" spans="1:16" s="90" customFormat="1" ht="16.2" thickBot="1" x14ac:dyDescent="0.35">
      <c r="A363" s="59"/>
      <c r="B363" s="60"/>
      <c r="C363" s="60"/>
      <c r="D363" s="88"/>
      <c r="E363" s="127"/>
      <c r="F363" s="61"/>
      <c r="G363" s="370" t="s">
        <v>37</v>
      </c>
      <c r="H363" s="371"/>
      <c r="I363" s="185">
        <f>SUM(J341:J362)</f>
        <v>193.85402999999999</v>
      </c>
      <c r="J363" s="372" t="s">
        <v>38</v>
      </c>
      <c r="K363" s="373"/>
      <c r="L363" s="194">
        <f>SUM(N341:N362)</f>
        <v>2464.9702923999998</v>
      </c>
      <c r="M363" s="117"/>
      <c r="N363" s="191"/>
      <c r="O363" s="62"/>
      <c r="P363" s="89">
        <f>SUM(O341:O362)</f>
        <v>2658.8243224000003</v>
      </c>
    </row>
    <row r="364" spans="1:16" ht="15" thickBot="1" x14ac:dyDescent="0.35">
      <c r="A364" s="32"/>
      <c r="B364" s="15"/>
      <c r="C364" s="15"/>
      <c r="D364" s="96"/>
      <c r="E364" s="129"/>
      <c r="F364" s="1"/>
      <c r="G364" s="78"/>
      <c r="H364" s="2"/>
      <c r="I364" s="11"/>
      <c r="J364" s="190"/>
      <c r="K364" s="44"/>
      <c r="L364" s="66"/>
      <c r="M364" s="66"/>
      <c r="N364" s="192"/>
      <c r="O364" s="55"/>
      <c r="P364" s="95"/>
    </row>
    <row r="365" spans="1:16" ht="20.100000000000001" customHeight="1" thickBot="1" x14ac:dyDescent="0.35">
      <c r="A365" s="348" t="s">
        <v>12</v>
      </c>
      <c r="B365" s="349"/>
      <c r="C365" s="349"/>
      <c r="D365" s="349"/>
      <c r="E365" s="349"/>
      <c r="F365" s="349"/>
      <c r="G365" s="349"/>
      <c r="H365" s="349"/>
      <c r="I365" s="349"/>
      <c r="J365" s="349"/>
      <c r="K365" s="349"/>
      <c r="L365" s="349"/>
      <c r="M365" s="350"/>
      <c r="N365" s="351">
        <f>SUM(J6:J364)</f>
        <v>30395.816814705879</v>
      </c>
      <c r="O365" s="352"/>
      <c r="P365" s="79"/>
    </row>
    <row r="366" spans="1:16" ht="20.100000000000001" customHeight="1" thickBot="1" x14ac:dyDescent="0.35">
      <c r="A366" s="348" t="s">
        <v>31</v>
      </c>
      <c r="B366" s="349"/>
      <c r="C366" s="349"/>
      <c r="D366" s="349"/>
      <c r="E366" s="349"/>
      <c r="F366" s="349"/>
      <c r="G366" s="349"/>
      <c r="H366" s="349"/>
      <c r="I366" s="349"/>
      <c r="J366" s="349"/>
      <c r="K366" s="349"/>
      <c r="L366" s="349"/>
      <c r="M366" s="350"/>
      <c r="N366" s="351">
        <f>SUM(N6:N364)</f>
        <v>89643.228089800017</v>
      </c>
      <c r="O366" s="352"/>
      <c r="P366" s="79"/>
    </row>
    <row r="367" spans="1:16" ht="20.100000000000001" customHeight="1" thickBot="1" x14ac:dyDescent="0.35">
      <c r="A367" s="348" t="s">
        <v>35</v>
      </c>
      <c r="B367" s="349"/>
      <c r="C367" s="349"/>
      <c r="D367" s="349"/>
      <c r="E367" s="349"/>
      <c r="F367" s="349"/>
      <c r="G367" s="349"/>
      <c r="H367" s="349"/>
      <c r="I367" s="349"/>
      <c r="J367" s="349"/>
      <c r="K367" s="349"/>
      <c r="L367" s="349"/>
      <c r="M367" s="350"/>
      <c r="N367" s="353">
        <f>SUM(M6:M364)</f>
        <v>736.83402999999919</v>
      </c>
      <c r="O367" s="354"/>
      <c r="P367" s="79"/>
    </row>
    <row r="368" spans="1:16" x14ac:dyDescent="0.3">
      <c r="A368" s="97"/>
      <c r="B368"/>
      <c r="D368" s="98"/>
      <c r="H368" s="38"/>
      <c r="I368" s="36"/>
      <c r="K368" s="36"/>
      <c r="L368" s="100"/>
      <c r="M368" s="100"/>
      <c r="N368" s="193"/>
      <c r="O368" s="101"/>
      <c r="P368" s="87"/>
    </row>
    <row r="369" spans="1:16" ht="15" thickBot="1" x14ac:dyDescent="0.35">
      <c r="A369" s="97"/>
      <c r="B369"/>
      <c r="H369" s="38"/>
      <c r="I369" s="36"/>
      <c r="K369" s="36"/>
      <c r="L369" s="100"/>
      <c r="M369" s="100"/>
      <c r="N369" s="193"/>
      <c r="O369" s="101"/>
      <c r="P369" s="87"/>
    </row>
    <row r="370" spans="1:16" ht="30" customHeight="1" thickBot="1" x14ac:dyDescent="0.35">
      <c r="A370" s="103"/>
      <c r="B370" s="355" t="s">
        <v>13</v>
      </c>
      <c r="C370" s="356"/>
      <c r="D370" s="356"/>
      <c r="E370" s="356"/>
      <c r="F370" s="356"/>
      <c r="G370" s="357"/>
      <c r="H370" s="104"/>
      <c r="I370" s="36"/>
      <c r="J370" s="36"/>
      <c r="K370" s="36"/>
      <c r="L370" s="36"/>
      <c r="M370" s="36"/>
      <c r="N370" s="36"/>
      <c r="O370" s="36"/>
      <c r="P370" s="87"/>
    </row>
    <row r="371" spans="1:16" ht="31.5" customHeight="1" thickBot="1" x14ac:dyDescent="0.35">
      <c r="A371" s="103"/>
      <c r="B371" s="43" t="s">
        <v>36</v>
      </c>
      <c r="C371" s="339" t="s">
        <v>14</v>
      </c>
      <c r="D371" s="340"/>
      <c r="E371" s="340"/>
      <c r="F371" s="340"/>
      <c r="G371" s="341"/>
      <c r="H371" s="104"/>
      <c r="I371" s="36"/>
      <c r="J371" s="36"/>
      <c r="K371" s="36"/>
      <c r="L371" s="36"/>
      <c r="M371" s="36"/>
      <c r="N371" s="36"/>
      <c r="P371" s="87"/>
    </row>
    <row r="372" spans="1:16" x14ac:dyDescent="0.3">
      <c r="A372" s="103"/>
      <c r="B372" s="46">
        <v>1</v>
      </c>
      <c r="C372" s="358" t="s">
        <v>18</v>
      </c>
      <c r="D372" s="359"/>
      <c r="E372" s="359"/>
      <c r="F372" s="359"/>
      <c r="G372" s="360"/>
      <c r="H372" s="104"/>
      <c r="I372" s="36"/>
      <c r="J372" s="36"/>
      <c r="K372" s="36"/>
      <c r="N372" s="36"/>
      <c r="P372" s="87"/>
    </row>
    <row r="373" spans="1:16" x14ac:dyDescent="0.3">
      <c r="A373" s="103"/>
      <c r="B373" s="46">
        <v>2</v>
      </c>
      <c r="C373" s="345" t="s">
        <v>22</v>
      </c>
      <c r="D373" s="346"/>
      <c r="E373" s="346"/>
      <c r="F373" s="346"/>
      <c r="G373" s="347"/>
      <c r="H373" s="104"/>
      <c r="I373" s="36"/>
      <c r="J373" s="36"/>
      <c r="K373" s="36"/>
      <c r="N373" s="36"/>
      <c r="P373" s="87"/>
    </row>
    <row r="374" spans="1:16" x14ac:dyDescent="0.3">
      <c r="A374" s="103"/>
      <c r="B374" s="46">
        <v>3</v>
      </c>
      <c r="C374" s="342" t="s">
        <v>53</v>
      </c>
      <c r="D374" s="343"/>
      <c r="E374" s="343"/>
      <c r="F374" s="343"/>
      <c r="G374" s="344"/>
      <c r="H374" s="104"/>
      <c r="I374" s="36"/>
      <c r="J374" s="36"/>
      <c r="K374" s="36"/>
      <c r="N374" s="36"/>
      <c r="P374" s="87"/>
    </row>
    <row r="375" spans="1:16" x14ac:dyDescent="0.3">
      <c r="A375" s="103"/>
      <c r="B375" s="46">
        <v>4</v>
      </c>
      <c r="C375" s="345" t="s">
        <v>27</v>
      </c>
      <c r="D375" s="346"/>
      <c r="E375" s="346"/>
      <c r="F375" s="346"/>
      <c r="G375" s="347"/>
      <c r="H375" s="104"/>
      <c r="I375" s="36"/>
      <c r="J375" s="36"/>
      <c r="K375" s="36"/>
      <c r="N375" s="36"/>
      <c r="P375" s="87"/>
    </row>
    <row r="376" spans="1:16" x14ac:dyDescent="0.3">
      <c r="A376" s="103"/>
      <c r="B376" s="46">
        <v>5</v>
      </c>
      <c r="C376" s="345" t="s">
        <v>28</v>
      </c>
      <c r="D376" s="346"/>
      <c r="E376" s="346"/>
      <c r="F376" s="346"/>
      <c r="G376" s="347"/>
      <c r="H376" s="104"/>
      <c r="I376" s="36"/>
      <c r="J376" s="36"/>
      <c r="K376" s="36"/>
      <c r="N376" s="36"/>
      <c r="P376" s="87"/>
    </row>
    <row r="377" spans="1:16" x14ac:dyDescent="0.3">
      <c r="A377" s="103"/>
      <c r="B377" s="46">
        <v>6</v>
      </c>
      <c r="C377" s="345" t="s">
        <v>175</v>
      </c>
      <c r="D377" s="346"/>
      <c r="E377" s="346"/>
      <c r="F377" s="346"/>
      <c r="G377" s="347"/>
      <c r="H377" s="104"/>
      <c r="I377" s="36"/>
      <c r="J377" s="36"/>
      <c r="K377" s="36"/>
      <c r="N377" s="36"/>
      <c r="P377" s="87"/>
    </row>
    <row r="378" spans="1:16" x14ac:dyDescent="0.3">
      <c r="A378" s="103"/>
      <c r="B378" s="46">
        <v>7</v>
      </c>
      <c r="C378" s="345" t="s">
        <v>176</v>
      </c>
      <c r="D378" s="346"/>
      <c r="E378" s="346"/>
      <c r="F378" s="346"/>
      <c r="G378" s="347"/>
      <c r="H378" s="104"/>
      <c r="I378" s="36"/>
      <c r="J378" s="36"/>
      <c r="K378" s="36"/>
      <c r="N378" s="36"/>
      <c r="P378" s="87"/>
    </row>
    <row r="379" spans="1:16" x14ac:dyDescent="0.3">
      <c r="A379" s="103"/>
      <c r="B379" s="46">
        <v>8</v>
      </c>
      <c r="C379" s="345" t="s">
        <v>177</v>
      </c>
      <c r="D379" s="346"/>
      <c r="E379" s="346"/>
      <c r="F379" s="346"/>
      <c r="G379" s="347"/>
      <c r="H379" s="104"/>
      <c r="I379" s="36"/>
      <c r="J379" s="36"/>
      <c r="K379" s="36"/>
      <c r="N379" s="36"/>
      <c r="P379" s="87"/>
    </row>
    <row r="380" spans="1:16" ht="15" thickBot="1" x14ac:dyDescent="0.35">
      <c r="A380" s="103"/>
      <c r="B380" s="106"/>
      <c r="C380" s="361"/>
      <c r="D380" s="361"/>
      <c r="E380" s="361"/>
      <c r="F380" s="361"/>
      <c r="G380" s="362"/>
      <c r="H380" s="104"/>
      <c r="I380" s="36"/>
      <c r="J380" s="36"/>
      <c r="K380" s="36"/>
      <c r="N380" s="36"/>
      <c r="P380" s="87"/>
    </row>
    <row r="381" spans="1:16" ht="20.100000000000001" customHeight="1" thickBot="1" x14ac:dyDescent="0.35">
      <c r="A381" s="103"/>
      <c r="B381" s="43" t="s">
        <v>36</v>
      </c>
      <c r="C381" s="339" t="s">
        <v>45</v>
      </c>
      <c r="D381" s="340"/>
      <c r="E381" s="340"/>
      <c r="F381" s="340"/>
      <c r="G381" s="341"/>
      <c r="H381" s="104"/>
      <c r="I381" s="36"/>
      <c r="J381" s="36"/>
      <c r="K381" s="36"/>
      <c r="N381" s="36"/>
      <c r="P381" s="87"/>
    </row>
    <row r="382" spans="1:16" x14ac:dyDescent="0.3">
      <c r="A382" s="103"/>
      <c r="B382" s="118">
        <v>1</v>
      </c>
      <c r="C382" s="358" t="s">
        <v>46</v>
      </c>
      <c r="D382" s="359"/>
      <c r="E382" s="359"/>
      <c r="F382" s="359"/>
      <c r="G382" s="360"/>
      <c r="H382" s="104"/>
      <c r="I382" s="36"/>
      <c r="J382" s="36"/>
      <c r="K382" s="36"/>
      <c r="N382" s="36"/>
      <c r="P382" s="87"/>
    </row>
    <row r="383" spans="1:16" x14ac:dyDescent="0.3">
      <c r="A383" s="103"/>
      <c r="B383" s="118">
        <v>2</v>
      </c>
      <c r="C383" s="363" t="s">
        <v>290</v>
      </c>
      <c r="D383" s="359"/>
      <c r="E383" s="359"/>
      <c r="F383" s="359"/>
      <c r="G383" s="360"/>
      <c r="H383" s="104"/>
      <c r="I383" s="36"/>
      <c r="J383" s="36"/>
      <c r="K383" s="36"/>
      <c r="N383" s="36"/>
      <c r="P383" s="87"/>
    </row>
    <row r="384" spans="1:16" x14ac:dyDescent="0.3">
      <c r="A384" s="103"/>
      <c r="B384" s="118">
        <v>3</v>
      </c>
      <c r="C384" s="358" t="s">
        <v>47</v>
      </c>
      <c r="D384" s="359"/>
      <c r="E384" s="359"/>
      <c r="F384" s="359"/>
      <c r="G384" s="360"/>
      <c r="H384" s="104"/>
      <c r="I384" s="36"/>
      <c r="J384" s="36"/>
      <c r="K384" s="36"/>
      <c r="N384" s="36"/>
      <c r="P384" s="87"/>
    </row>
    <row r="385" spans="1:16" ht="15" thickBot="1" x14ac:dyDescent="0.35">
      <c r="A385" s="103"/>
      <c r="B385" s="119"/>
      <c r="C385" s="361"/>
      <c r="D385" s="361"/>
      <c r="E385" s="361"/>
      <c r="F385" s="361"/>
      <c r="G385" s="362"/>
      <c r="H385" s="104"/>
      <c r="I385" s="36"/>
      <c r="J385" s="36"/>
      <c r="K385" s="36"/>
      <c r="N385" s="36"/>
      <c r="P385" s="87"/>
    </row>
    <row r="386" spans="1:16" ht="20.100000000000001" customHeight="1" thickBot="1" x14ac:dyDescent="0.35">
      <c r="A386" s="103"/>
      <c r="B386" s="43" t="s">
        <v>36</v>
      </c>
      <c r="C386" s="339" t="s">
        <v>24</v>
      </c>
      <c r="D386" s="340"/>
      <c r="E386" s="340"/>
      <c r="F386" s="340"/>
      <c r="G386" s="341"/>
      <c r="H386" s="104"/>
      <c r="I386" s="36"/>
      <c r="J386" s="36"/>
      <c r="K386" s="36"/>
      <c r="N386" s="36"/>
      <c r="P386" s="87"/>
    </row>
    <row r="387" spans="1:16" x14ac:dyDescent="0.3">
      <c r="A387" s="103"/>
      <c r="B387" s="118">
        <v>1</v>
      </c>
      <c r="C387" s="358" t="s">
        <v>54</v>
      </c>
      <c r="D387" s="359"/>
      <c r="E387" s="359"/>
      <c r="F387" s="359"/>
      <c r="G387" s="360"/>
      <c r="H387" s="104"/>
      <c r="I387" s="36"/>
      <c r="J387" s="36"/>
      <c r="K387" s="36"/>
      <c r="N387" s="36"/>
      <c r="P387" s="87"/>
    </row>
    <row r="388" spans="1:16" x14ac:dyDescent="0.3">
      <c r="A388" s="103"/>
      <c r="B388" s="118">
        <v>2</v>
      </c>
      <c r="C388" s="358" t="s">
        <v>55</v>
      </c>
      <c r="D388" s="359"/>
      <c r="E388" s="359"/>
      <c r="F388" s="359"/>
      <c r="G388" s="360"/>
      <c r="H388" s="104"/>
      <c r="I388" s="36"/>
      <c r="J388" s="36"/>
      <c r="K388" s="36"/>
      <c r="N388" s="36"/>
      <c r="P388" s="87"/>
    </row>
    <row r="389" spans="1:16" x14ac:dyDescent="0.3">
      <c r="A389" s="103"/>
      <c r="B389" s="118">
        <v>3</v>
      </c>
      <c r="C389" s="345" t="s">
        <v>25</v>
      </c>
      <c r="D389" s="346"/>
      <c r="E389" s="346"/>
      <c r="F389" s="346"/>
      <c r="G389" s="347"/>
      <c r="H389" s="104"/>
      <c r="I389" s="36"/>
      <c r="J389" s="36"/>
      <c r="K389" s="36"/>
      <c r="N389" s="36"/>
      <c r="P389" s="87"/>
    </row>
    <row r="390" spans="1:16" ht="15" customHeight="1" x14ac:dyDescent="0.3">
      <c r="A390" s="103"/>
      <c r="B390" s="118">
        <v>4</v>
      </c>
      <c r="C390" s="345" t="s">
        <v>48</v>
      </c>
      <c r="D390" s="346"/>
      <c r="E390" s="346"/>
      <c r="F390" s="346"/>
      <c r="G390" s="347"/>
      <c r="H390" s="104"/>
      <c r="I390" s="36"/>
      <c r="J390" s="36"/>
      <c r="K390" s="36"/>
      <c r="N390" s="36"/>
      <c r="P390" s="87"/>
    </row>
    <row r="391" spans="1:16" x14ac:dyDescent="0.3">
      <c r="A391" s="103"/>
      <c r="B391" s="118">
        <v>5</v>
      </c>
      <c r="C391" s="345" t="s">
        <v>49</v>
      </c>
      <c r="D391" s="346"/>
      <c r="E391" s="346"/>
      <c r="F391" s="346"/>
      <c r="G391" s="347"/>
      <c r="H391" s="104"/>
      <c r="I391" s="36"/>
      <c r="J391" s="36"/>
      <c r="K391" s="36"/>
      <c r="N391" s="36"/>
      <c r="P391" s="87"/>
    </row>
    <row r="392" spans="1:16" ht="15" customHeight="1" x14ac:dyDescent="0.3">
      <c r="A392" s="103"/>
      <c r="B392" s="118">
        <v>6</v>
      </c>
      <c r="C392" s="345" t="s">
        <v>50</v>
      </c>
      <c r="D392" s="346"/>
      <c r="E392" s="346"/>
      <c r="F392" s="346"/>
      <c r="G392" s="347"/>
      <c r="H392" s="104"/>
      <c r="I392" s="36"/>
      <c r="J392" s="36"/>
      <c r="K392" s="36"/>
      <c r="N392" s="36"/>
      <c r="P392" s="87"/>
    </row>
    <row r="393" spans="1:16" ht="15" customHeight="1" x14ac:dyDescent="0.3">
      <c r="A393" s="103"/>
      <c r="B393" s="118">
        <v>7</v>
      </c>
      <c r="C393" s="345" t="s">
        <v>51</v>
      </c>
      <c r="D393" s="346"/>
      <c r="E393" s="346"/>
      <c r="F393" s="346"/>
      <c r="G393" s="347"/>
      <c r="H393" s="104"/>
      <c r="I393" s="36"/>
      <c r="J393" s="36"/>
      <c r="K393" s="36"/>
      <c r="N393" s="36"/>
      <c r="P393" s="87"/>
    </row>
    <row r="394" spans="1:16" ht="15" thickBot="1" x14ac:dyDescent="0.35">
      <c r="A394" s="103"/>
      <c r="B394" s="119"/>
      <c r="C394" s="337"/>
      <c r="D394" s="337"/>
      <c r="E394" s="337"/>
      <c r="F394" s="337"/>
      <c r="G394" s="338"/>
      <c r="H394" s="104"/>
      <c r="I394" s="36"/>
      <c r="J394" s="36"/>
      <c r="K394" s="36"/>
      <c r="N394" s="36"/>
      <c r="P394" s="87"/>
    </row>
    <row r="395" spans="1:16" ht="20.100000000000001" customHeight="1" thickBot="1" x14ac:dyDescent="0.35">
      <c r="A395" s="103"/>
      <c r="B395" s="43" t="s">
        <v>36</v>
      </c>
      <c r="C395" s="339" t="s">
        <v>52</v>
      </c>
      <c r="D395" s="340"/>
      <c r="E395" s="340"/>
      <c r="F395" s="340"/>
      <c r="G395" s="341"/>
      <c r="H395" s="104"/>
      <c r="I395" s="36"/>
      <c r="J395" s="36"/>
      <c r="K395" s="36"/>
      <c r="N395" s="36"/>
      <c r="P395" s="87"/>
    </row>
    <row r="396" spans="1:16" x14ac:dyDescent="0.3">
      <c r="A396" s="103"/>
      <c r="B396" s="47">
        <v>1</v>
      </c>
      <c r="C396" s="342" t="s">
        <v>207</v>
      </c>
      <c r="D396" s="343"/>
      <c r="E396" s="343"/>
      <c r="F396" s="343"/>
      <c r="G396" s="344"/>
      <c r="H396" s="104"/>
      <c r="I396" s="36"/>
      <c r="J396" s="36"/>
      <c r="K396" s="36"/>
      <c r="N396" s="36"/>
      <c r="P396" s="87"/>
    </row>
    <row r="397" spans="1:16" x14ac:dyDescent="0.3">
      <c r="A397" s="103"/>
      <c r="B397" s="47">
        <v>2</v>
      </c>
      <c r="C397" s="342" t="s">
        <v>208</v>
      </c>
      <c r="D397" s="343"/>
      <c r="E397" s="343"/>
      <c r="F397" s="343"/>
      <c r="G397" s="344"/>
      <c r="H397" s="104"/>
      <c r="I397" s="36"/>
      <c r="J397" s="36"/>
      <c r="K397" s="36"/>
      <c r="N397" s="36"/>
      <c r="P397" s="87"/>
    </row>
    <row r="398" spans="1:16" x14ac:dyDescent="0.3">
      <c r="A398" s="103"/>
      <c r="B398" s="47">
        <v>3</v>
      </c>
      <c r="C398" s="342" t="s">
        <v>213</v>
      </c>
      <c r="D398" s="343"/>
      <c r="E398" s="343"/>
      <c r="F398" s="343"/>
      <c r="G398" s="344"/>
      <c r="H398" s="104"/>
      <c r="I398" s="36"/>
      <c r="J398" s="36"/>
      <c r="K398" s="36"/>
      <c r="N398" s="36"/>
      <c r="P398" s="87"/>
    </row>
    <row r="399" spans="1:16" ht="15" thickBot="1" x14ac:dyDescent="0.35">
      <c r="A399" s="103"/>
      <c r="B399" s="48"/>
      <c r="C399" s="332"/>
      <c r="D399" s="333"/>
      <c r="E399" s="333"/>
      <c r="F399" s="333"/>
      <c r="G399" s="334"/>
      <c r="H399" s="104"/>
      <c r="I399" s="36"/>
      <c r="J399" s="36"/>
      <c r="K399" s="36"/>
      <c r="N399" s="36"/>
      <c r="P399" s="87"/>
    </row>
    <row r="400" spans="1:16" ht="15" thickBot="1" x14ac:dyDescent="0.35">
      <c r="A400" s="103"/>
      <c r="B400" s="104"/>
      <c r="C400" s="104"/>
      <c r="D400" s="104"/>
      <c r="E400" s="225"/>
      <c r="F400" s="104"/>
      <c r="G400" s="225"/>
      <c r="H400" s="104"/>
      <c r="I400" s="36"/>
      <c r="J400" s="36"/>
      <c r="K400" s="36"/>
      <c r="N400" s="36"/>
      <c r="P400" s="87"/>
    </row>
    <row r="401" spans="1:16" x14ac:dyDescent="0.3">
      <c r="A401" s="211"/>
      <c r="B401" s="212"/>
      <c r="C401" s="213"/>
      <c r="D401" s="214"/>
      <c r="E401" s="215"/>
      <c r="F401" s="212"/>
      <c r="G401" s="215"/>
      <c r="H401" s="212"/>
      <c r="I401" s="216"/>
      <c r="J401" s="216"/>
      <c r="K401" s="216"/>
      <c r="L401" s="217"/>
      <c r="M401" s="217"/>
      <c r="N401" s="216"/>
      <c r="O401" s="218"/>
      <c r="P401" s="69"/>
    </row>
    <row r="402" spans="1:16" ht="57.75" customHeight="1" x14ac:dyDescent="0.3">
      <c r="A402" s="97"/>
      <c r="B402" s="335" t="s">
        <v>96</v>
      </c>
      <c r="C402" s="336"/>
      <c r="D402" s="336"/>
      <c r="E402" s="336"/>
      <c r="F402" s="336"/>
      <c r="G402" s="336"/>
      <c r="H402" s="336"/>
      <c r="I402" s="336"/>
      <c r="J402" s="336"/>
      <c r="K402" s="336"/>
      <c r="L402" s="336"/>
      <c r="M402" s="336"/>
      <c r="N402" s="336"/>
      <c r="O402" s="336"/>
      <c r="P402" s="87"/>
    </row>
    <row r="403" spans="1:16" ht="15" thickBot="1" x14ac:dyDescent="0.35">
      <c r="A403" s="219"/>
      <c r="B403" s="220"/>
      <c r="C403" s="221"/>
      <c r="D403" s="222"/>
      <c r="E403" s="223"/>
      <c r="F403" s="220"/>
      <c r="G403" s="223"/>
      <c r="H403" s="220"/>
      <c r="I403" s="224"/>
      <c r="J403" s="224"/>
      <c r="K403" s="224"/>
      <c r="L403" s="107"/>
      <c r="M403" s="107"/>
      <c r="N403" s="224"/>
      <c r="O403" s="108"/>
      <c r="P403" s="109"/>
    </row>
  </sheetData>
  <mergeCells count="95">
    <mergeCell ref="A119:H119"/>
    <mergeCell ref="D274:I274"/>
    <mergeCell ref="A97:D97"/>
    <mergeCell ref="A106:D106"/>
    <mergeCell ref="D115:I115"/>
    <mergeCell ref="G117:H117"/>
    <mergeCell ref="A222:H222"/>
    <mergeCell ref="A223:D223"/>
    <mergeCell ref="A131:D131"/>
    <mergeCell ref="A135:D135"/>
    <mergeCell ref="A165:H165"/>
    <mergeCell ref="A166:D166"/>
    <mergeCell ref="G220:H220"/>
    <mergeCell ref="J117:K117"/>
    <mergeCell ref="G276:H276"/>
    <mergeCell ref="J276:K276"/>
    <mergeCell ref="A1:K1"/>
    <mergeCell ref="L1:M1"/>
    <mergeCell ref="A120:D120"/>
    <mergeCell ref="A124:D124"/>
    <mergeCell ref="J220:K220"/>
    <mergeCell ref="G163:H163"/>
    <mergeCell ref="J163:K163"/>
    <mergeCell ref="A247:H247"/>
    <mergeCell ref="A156:D156"/>
    <mergeCell ref="A237:D237"/>
    <mergeCell ref="D243:I243"/>
    <mergeCell ref="G245:H245"/>
    <mergeCell ref="J245:K245"/>
    <mergeCell ref="N1:O1"/>
    <mergeCell ref="K3:O3"/>
    <mergeCell ref="A5:H5"/>
    <mergeCell ref="A6:D6"/>
    <mergeCell ref="A88:D88"/>
    <mergeCell ref="A53:D53"/>
    <mergeCell ref="A64:D64"/>
    <mergeCell ref="A70:D70"/>
    <mergeCell ref="A75:D75"/>
    <mergeCell ref="A84:D84"/>
    <mergeCell ref="K2:O2"/>
    <mergeCell ref="A341:D341"/>
    <mergeCell ref="J338:K338"/>
    <mergeCell ref="A349:D349"/>
    <mergeCell ref="A365:M365"/>
    <mergeCell ref="N365:O365"/>
    <mergeCell ref="A353:D353"/>
    <mergeCell ref="G363:H363"/>
    <mergeCell ref="J363:K363"/>
    <mergeCell ref="J307:K307"/>
    <mergeCell ref="A325:D325"/>
    <mergeCell ref="A328:D328"/>
    <mergeCell ref="G338:H338"/>
    <mergeCell ref="A340:H340"/>
    <mergeCell ref="A278:H278"/>
    <mergeCell ref="A279:D279"/>
    <mergeCell ref="A297:D297"/>
    <mergeCell ref="A309:H309"/>
    <mergeCell ref="A310:D310"/>
    <mergeCell ref="A300:D300"/>
    <mergeCell ref="G307:H307"/>
    <mergeCell ref="C379:G379"/>
    <mergeCell ref="C380:G380"/>
    <mergeCell ref="C381:G381"/>
    <mergeCell ref="C393:G393"/>
    <mergeCell ref="C382:G382"/>
    <mergeCell ref="C383:G383"/>
    <mergeCell ref="C384:G384"/>
    <mergeCell ref="C385:G385"/>
    <mergeCell ref="C386:G386"/>
    <mergeCell ref="C387:G387"/>
    <mergeCell ref="C388:G388"/>
    <mergeCell ref="C389:G389"/>
    <mergeCell ref="C390:G390"/>
    <mergeCell ref="C391:G391"/>
    <mergeCell ref="C392:G392"/>
    <mergeCell ref="C375:G375"/>
    <mergeCell ref="C378:G378"/>
    <mergeCell ref="A366:M366"/>
    <mergeCell ref="N366:O366"/>
    <mergeCell ref="A367:M367"/>
    <mergeCell ref="N367:O367"/>
    <mergeCell ref="B370:G370"/>
    <mergeCell ref="C371:G371"/>
    <mergeCell ref="C372:G372"/>
    <mergeCell ref="C373:G373"/>
    <mergeCell ref="C374:G374"/>
    <mergeCell ref="C376:G376"/>
    <mergeCell ref="C377:G377"/>
    <mergeCell ref="C399:G399"/>
    <mergeCell ref="B402:O402"/>
    <mergeCell ref="C394:G394"/>
    <mergeCell ref="C395:G395"/>
    <mergeCell ref="C396:G396"/>
    <mergeCell ref="C398:G398"/>
    <mergeCell ref="C397:G397"/>
  </mergeCells>
  <printOptions horizontalCentered="1"/>
  <pageMargins left="0.23622047244094491" right="0.23622047244094491" top="0.74803149606299213" bottom="0.74803149606299213" header="0.31496062992125984" footer="0.31496062992125984"/>
  <pageSetup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12B87A7D-B2AD-49A5-A9BA-91EAB8839FC0}">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Bid Recap &amp; Summary</vt:lpstr>
      <vt:lpstr>Estimate</vt:lpstr>
      <vt:lpstr>'Bid Recap &amp; Summary'!Print_Area</vt:lpstr>
      <vt:lpstr>Estimate!Print_Area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{12B87A7D-B2AD-49A5-A9BA-91EAB8839FC0}</vt:lpwstr>
  </property>
</Properties>
</file>