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C1303F11-0F43-437D-8045-DF50A9E87CD2}" xr6:coauthVersionLast="47" xr6:coauthVersionMax="47" xr10:uidLastSave="{00000000-0000-0000-0000-000000000000}"/>
  <bookViews>
    <workbookView xWindow="-108" yWindow="-108" windowWidth="23256" windowHeight="12456" firstSheet="1" activeTab="1" xr2:uid="{5115D173-0769-45E6-97A5-BE3ED292126D}"/>
  </bookViews>
  <sheets>
    <sheet name="Bid Recap &amp; Summary" sheetId="2" r:id="rId1"/>
    <sheet name="Estimate" sheetId="1" r:id="rId2"/>
    <sheet name="ALTERNATE 1" sheetId="3" r:id="rId3"/>
    <sheet name="ALTERNATE 2" sheetId="5" r:id="rId4"/>
    <sheet name="ALTERNATE 3 - HUT" sheetId="8" r:id="rId5"/>
    <sheet name="ALTERNATE 4 - VESTIBULE" sheetId="9" r:id="rId6"/>
    <sheet name="ALTERNATE 5 - IT OFFICE" sheetId="10" r:id="rId7"/>
  </sheets>
  <definedNames>
    <definedName name="_xlnm._FilterDatabase" localSheetId="2" hidden="1">'ALTERNATE 1'!$A$6:$U$23</definedName>
    <definedName name="_xlnm._FilterDatabase" localSheetId="3" hidden="1">'ALTERNATE 2'!$A$6:$U$23</definedName>
    <definedName name="_xlnm._FilterDatabase" localSheetId="4" hidden="1">'ALTERNATE 3 - HUT'!$A$6:$U$24</definedName>
    <definedName name="_xlnm._FilterDatabase" localSheetId="5" hidden="1">'ALTERNATE 4 - VESTIBULE'!$A$6:$U$24</definedName>
    <definedName name="_xlnm._FilterDatabase" localSheetId="6" hidden="1">'ALTERNATE 5 - IT OFFICE'!$A$6:$U$24</definedName>
    <definedName name="_xlnm._FilterDatabase" localSheetId="1" hidden="1">Estimate!$A$6:$U$915</definedName>
    <definedName name="_xlnm.Print_Area" localSheetId="2">'ALTERNATE 1'!$A$1:$R$24</definedName>
    <definedName name="_xlnm.Print_Area" localSheetId="3">'ALTERNATE 2'!$A$1:$R$24</definedName>
    <definedName name="_xlnm.Print_Area" localSheetId="4">'ALTERNATE 3 - HUT'!$A$1:$R$25</definedName>
    <definedName name="_xlnm.Print_Area" localSheetId="5">'ALTERNATE 4 - VESTIBULE'!$A$1:$R$25</definedName>
    <definedName name="_xlnm.Print_Area" localSheetId="6">'ALTERNATE 5 - IT OFFICE'!$A$1:$R$25</definedName>
    <definedName name="_xlnm.Print_Area" localSheetId="0">'Bid Recap &amp; Summary'!$A$1:$M$40</definedName>
    <definedName name="_xlnm.Print_Area" localSheetId="1">Estimate!$A$1:$R$916</definedName>
    <definedName name="_xlnm.Print_Titles" localSheetId="2">'ALTERNATE 1'!$1:$6</definedName>
    <definedName name="_xlnm.Print_Titles" localSheetId="3">'ALTERNATE 2'!$1:$6</definedName>
    <definedName name="_xlnm.Print_Titles" localSheetId="4">'ALTERNATE 3 - HUT'!$1:$6</definedName>
    <definedName name="_xlnm.Print_Titles" localSheetId="5">'ALTERNATE 4 - VESTIBULE'!$1:$6</definedName>
    <definedName name="_xlnm.Print_Titles" localSheetId="6">'ALTERNATE 5 - IT OFFICE'!$1:$6</definedName>
    <definedName name="_xlnm.Print_Titles" localSheetId="1">Estimate!$1:$6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2" i="1" l="1"/>
  <c r="F261" i="1"/>
  <c r="F260" i="1"/>
  <c r="M10" i="3"/>
  <c r="M10" i="5"/>
  <c r="N9" i="9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7" i="1"/>
  <c r="A358" i="1"/>
  <c r="A356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N58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G902" i="1"/>
  <c r="I902" i="1"/>
  <c r="J902" i="1" s="1"/>
  <c r="G98" i="1"/>
  <c r="G80" i="1"/>
  <c r="G78" i="1"/>
  <c r="G79" i="1"/>
  <c r="G76" i="1"/>
  <c r="G75" i="1"/>
  <c r="G71" i="1"/>
  <c r="G77" i="1"/>
  <c r="G74" i="1"/>
  <c r="G73" i="1"/>
  <c r="G72" i="1"/>
  <c r="G70" i="1"/>
  <c r="G68" i="1"/>
  <c r="G66" i="1"/>
  <c r="G69" i="1"/>
  <c r="G67" i="1"/>
  <c r="G65" i="1"/>
  <c r="G64" i="1"/>
  <c r="G87" i="1"/>
  <c r="G86" i="1"/>
  <c r="G85" i="1"/>
  <c r="G84" i="1"/>
  <c r="G83" i="1"/>
  <c r="G82" i="1"/>
  <c r="G81" i="1"/>
  <c r="G96" i="1"/>
  <c r="G95" i="1"/>
  <c r="G94" i="1"/>
  <c r="G93" i="1"/>
  <c r="G92" i="1"/>
  <c r="G91" i="1"/>
  <c r="G90" i="1"/>
  <c r="G89" i="1"/>
  <c r="G88" i="1"/>
  <c r="G108" i="1"/>
  <c r="I107" i="1"/>
  <c r="J107" i="1" s="1"/>
  <c r="Q16" i="10"/>
  <c r="P16" i="10"/>
  <c r="O16" i="10"/>
  <c r="N16" i="10"/>
  <c r="M16" i="10"/>
  <c r="L16" i="10"/>
  <c r="K16" i="10"/>
  <c r="J16" i="10"/>
  <c r="I16" i="10"/>
  <c r="A16" i="10"/>
  <c r="A15" i="10"/>
  <c r="Q14" i="10"/>
  <c r="P14" i="10"/>
  <c r="O14" i="10"/>
  <c r="N14" i="10"/>
  <c r="M14" i="10"/>
  <c r="L14" i="10"/>
  <c r="K14" i="10"/>
  <c r="J14" i="10"/>
  <c r="I14" i="10"/>
  <c r="A14" i="10"/>
  <c r="A13" i="10"/>
  <c r="Q12" i="10"/>
  <c r="P12" i="10"/>
  <c r="O12" i="10"/>
  <c r="N12" i="10"/>
  <c r="M12" i="10"/>
  <c r="L12" i="10"/>
  <c r="K12" i="10"/>
  <c r="J12" i="10"/>
  <c r="I12" i="10"/>
  <c r="A12" i="10"/>
  <c r="I11" i="10"/>
  <c r="J11" i="10" s="1"/>
  <c r="A11" i="10"/>
  <c r="I10" i="10"/>
  <c r="J10" i="10" s="1"/>
  <c r="A10" i="10"/>
  <c r="Q9" i="10"/>
  <c r="P9" i="10"/>
  <c r="O9" i="10"/>
  <c r="N9" i="10"/>
  <c r="M9" i="10"/>
  <c r="L9" i="10"/>
  <c r="K9" i="10"/>
  <c r="J9" i="10"/>
  <c r="I9" i="10"/>
  <c r="A9" i="10"/>
  <c r="A8" i="10"/>
  <c r="F5" i="10"/>
  <c r="Q16" i="9"/>
  <c r="P16" i="9"/>
  <c r="O16" i="9"/>
  <c r="N16" i="9"/>
  <c r="M16" i="9"/>
  <c r="L16" i="9"/>
  <c r="K16" i="9"/>
  <c r="J16" i="9"/>
  <c r="I16" i="9"/>
  <c r="A16" i="9"/>
  <c r="A15" i="9"/>
  <c r="Q14" i="9"/>
  <c r="P14" i="9"/>
  <c r="O14" i="9"/>
  <c r="N14" i="9"/>
  <c r="M14" i="9"/>
  <c r="L14" i="9"/>
  <c r="K14" i="9"/>
  <c r="J14" i="9"/>
  <c r="I14" i="9"/>
  <c r="A14" i="9"/>
  <c r="A13" i="9"/>
  <c r="Q12" i="9"/>
  <c r="P12" i="9"/>
  <c r="O12" i="9"/>
  <c r="N12" i="9"/>
  <c r="M12" i="9"/>
  <c r="L12" i="9"/>
  <c r="K12" i="9"/>
  <c r="J12" i="9"/>
  <c r="I12" i="9"/>
  <c r="A12" i="9"/>
  <c r="I11" i="9"/>
  <c r="J11" i="9" s="1"/>
  <c r="A11" i="9"/>
  <c r="I10" i="9"/>
  <c r="J10" i="9" s="1"/>
  <c r="A10" i="9"/>
  <c r="Q9" i="9"/>
  <c r="P9" i="9"/>
  <c r="O9" i="9"/>
  <c r="M9" i="9"/>
  <c r="L9" i="9"/>
  <c r="K9" i="9"/>
  <c r="J9" i="9"/>
  <c r="I9" i="9"/>
  <c r="A9" i="9"/>
  <c r="A8" i="9"/>
  <c r="F5" i="9"/>
  <c r="Q16" i="8"/>
  <c r="P16" i="8"/>
  <c r="O16" i="8"/>
  <c r="N16" i="8"/>
  <c r="M16" i="8"/>
  <c r="L16" i="8"/>
  <c r="K16" i="8"/>
  <c r="J16" i="8"/>
  <c r="I16" i="8"/>
  <c r="A16" i="8"/>
  <c r="A15" i="8"/>
  <c r="Q14" i="8"/>
  <c r="P14" i="8"/>
  <c r="O14" i="8"/>
  <c r="N14" i="8"/>
  <c r="M14" i="8"/>
  <c r="L14" i="8"/>
  <c r="K14" i="8"/>
  <c r="J14" i="8"/>
  <c r="I14" i="8"/>
  <c r="A14" i="8"/>
  <c r="A13" i="8"/>
  <c r="Q12" i="8"/>
  <c r="P12" i="8"/>
  <c r="O12" i="8"/>
  <c r="N12" i="8"/>
  <c r="M12" i="8"/>
  <c r="L12" i="8"/>
  <c r="K12" i="8"/>
  <c r="J12" i="8"/>
  <c r="I12" i="8"/>
  <c r="A12" i="8"/>
  <c r="I11" i="8"/>
  <c r="J11" i="8" s="1"/>
  <c r="A11" i="8"/>
  <c r="I10" i="8"/>
  <c r="J10" i="8" s="1"/>
  <c r="A10" i="8"/>
  <c r="Q9" i="8"/>
  <c r="P9" i="8"/>
  <c r="O9" i="8"/>
  <c r="N9" i="8"/>
  <c r="M9" i="8"/>
  <c r="L9" i="8"/>
  <c r="K9" i="8"/>
  <c r="J9" i="8"/>
  <c r="I9" i="8"/>
  <c r="A9" i="8"/>
  <c r="A8" i="8"/>
  <c r="F5" i="8"/>
  <c r="Q15" i="5"/>
  <c r="P15" i="5"/>
  <c r="O15" i="5"/>
  <c r="N15" i="5"/>
  <c r="M15" i="5"/>
  <c r="L15" i="5"/>
  <c r="K15" i="5"/>
  <c r="J15" i="5"/>
  <c r="I15" i="5"/>
  <c r="A15" i="5"/>
  <c r="A14" i="5"/>
  <c r="Q13" i="5"/>
  <c r="P13" i="5"/>
  <c r="O13" i="5"/>
  <c r="N13" i="5"/>
  <c r="M13" i="5"/>
  <c r="L13" i="5"/>
  <c r="K13" i="5"/>
  <c r="J13" i="5"/>
  <c r="I13" i="5"/>
  <c r="A13" i="5"/>
  <c r="A12" i="5"/>
  <c r="Q11" i="5"/>
  <c r="P11" i="5"/>
  <c r="O11" i="5"/>
  <c r="N11" i="5"/>
  <c r="M11" i="5"/>
  <c r="L11" i="5"/>
  <c r="K11" i="5"/>
  <c r="J11" i="5"/>
  <c r="I11" i="5"/>
  <c r="A11" i="5"/>
  <c r="I10" i="5"/>
  <c r="J10" i="5" s="1"/>
  <c r="L10" i="5" s="1"/>
  <c r="A10" i="5"/>
  <c r="Q9" i="5"/>
  <c r="P9" i="5"/>
  <c r="O9" i="5"/>
  <c r="N9" i="5"/>
  <c r="M9" i="5"/>
  <c r="L9" i="5"/>
  <c r="K9" i="5"/>
  <c r="J9" i="5"/>
  <c r="I9" i="5"/>
  <c r="A9" i="5"/>
  <c r="A8" i="5"/>
  <c r="F5" i="5"/>
  <c r="E2" i="3"/>
  <c r="E1" i="3"/>
  <c r="A12" i="3"/>
  <c r="A11" i="3"/>
  <c r="A10" i="3"/>
  <c r="A9" i="3"/>
  <c r="I10" i="3"/>
  <c r="J10" i="3" s="1"/>
  <c r="Q15" i="3"/>
  <c r="P15" i="3"/>
  <c r="O15" i="3"/>
  <c r="N15" i="3"/>
  <c r="M15" i="3"/>
  <c r="L15" i="3"/>
  <c r="K15" i="3"/>
  <c r="J15" i="3"/>
  <c r="I15" i="3"/>
  <c r="A15" i="3"/>
  <c r="A14" i="3"/>
  <c r="Q13" i="3"/>
  <c r="P13" i="3"/>
  <c r="O13" i="3"/>
  <c r="N13" i="3"/>
  <c r="M13" i="3"/>
  <c r="L13" i="3"/>
  <c r="K13" i="3"/>
  <c r="J13" i="3"/>
  <c r="I13" i="3"/>
  <c r="A13" i="3"/>
  <c r="Q11" i="3"/>
  <c r="P11" i="3"/>
  <c r="O11" i="3"/>
  <c r="N11" i="3"/>
  <c r="M11" i="3"/>
  <c r="L11" i="3"/>
  <c r="K11" i="3"/>
  <c r="J11" i="3"/>
  <c r="I11" i="3"/>
  <c r="Q9" i="3"/>
  <c r="P9" i="3"/>
  <c r="O9" i="3"/>
  <c r="N9" i="3"/>
  <c r="M9" i="3"/>
  <c r="L9" i="3"/>
  <c r="K9" i="3"/>
  <c r="J9" i="3"/>
  <c r="I9" i="3"/>
  <c r="A8" i="3"/>
  <c r="F5" i="3"/>
  <c r="I894" i="1"/>
  <c r="J894" i="1" s="1"/>
  <c r="I893" i="1"/>
  <c r="J893" i="1" s="1"/>
  <c r="I892" i="1"/>
  <c r="J892" i="1" s="1"/>
  <c r="I891" i="1"/>
  <c r="J891" i="1" s="1"/>
  <c r="I890" i="1"/>
  <c r="J890" i="1" s="1"/>
  <c r="I889" i="1"/>
  <c r="J889" i="1" s="1"/>
  <c r="I888" i="1"/>
  <c r="J888" i="1" s="1"/>
  <c r="I887" i="1"/>
  <c r="J887" i="1" s="1"/>
  <c r="I886" i="1"/>
  <c r="J886" i="1" s="1"/>
  <c r="I885" i="1"/>
  <c r="J885" i="1" s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Q878" i="1"/>
  <c r="P878" i="1"/>
  <c r="O878" i="1"/>
  <c r="M878" i="1"/>
  <c r="L878" i="1"/>
  <c r="J878" i="1"/>
  <c r="I878" i="1"/>
  <c r="Q877" i="1"/>
  <c r="P877" i="1"/>
  <c r="O877" i="1"/>
  <c r="M877" i="1"/>
  <c r="L877" i="1"/>
  <c r="J877" i="1"/>
  <c r="I877" i="1"/>
  <c r="J876" i="1"/>
  <c r="J875" i="1"/>
  <c r="J874" i="1"/>
  <c r="Q873" i="1"/>
  <c r="P873" i="1"/>
  <c r="O873" i="1"/>
  <c r="M873" i="1"/>
  <c r="L873" i="1"/>
  <c r="J873" i="1"/>
  <c r="I873" i="1"/>
  <c r="Q872" i="1"/>
  <c r="P872" i="1"/>
  <c r="O872" i="1"/>
  <c r="M872" i="1"/>
  <c r="L872" i="1"/>
  <c r="J872" i="1"/>
  <c r="I872" i="1"/>
  <c r="J871" i="1"/>
  <c r="Q870" i="1"/>
  <c r="P870" i="1"/>
  <c r="O870" i="1"/>
  <c r="M870" i="1"/>
  <c r="L870" i="1"/>
  <c r="J870" i="1"/>
  <c r="I870" i="1"/>
  <c r="Q869" i="1"/>
  <c r="P869" i="1"/>
  <c r="O869" i="1"/>
  <c r="M869" i="1"/>
  <c r="L869" i="1"/>
  <c r="J869" i="1"/>
  <c r="I869" i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Q861" i="1"/>
  <c r="P861" i="1"/>
  <c r="O861" i="1"/>
  <c r="M861" i="1"/>
  <c r="L861" i="1"/>
  <c r="J861" i="1"/>
  <c r="I861" i="1"/>
  <c r="Q860" i="1"/>
  <c r="P860" i="1"/>
  <c r="O860" i="1"/>
  <c r="M860" i="1"/>
  <c r="L860" i="1"/>
  <c r="J860" i="1"/>
  <c r="I860" i="1"/>
  <c r="J859" i="1"/>
  <c r="J858" i="1"/>
  <c r="J857" i="1"/>
  <c r="Q856" i="1"/>
  <c r="P856" i="1"/>
  <c r="O856" i="1"/>
  <c r="M856" i="1"/>
  <c r="L856" i="1"/>
  <c r="J856" i="1"/>
  <c r="I856" i="1"/>
  <c r="Q855" i="1"/>
  <c r="P855" i="1"/>
  <c r="O855" i="1"/>
  <c r="M855" i="1"/>
  <c r="L855" i="1"/>
  <c r="J855" i="1"/>
  <c r="I855" i="1"/>
  <c r="J854" i="1"/>
  <c r="J853" i="1"/>
  <c r="J852" i="1"/>
  <c r="Q851" i="1"/>
  <c r="P851" i="1"/>
  <c r="O851" i="1"/>
  <c r="M851" i="1"/>
  <c r="L851" i="1"/>
  <c r="J851" i="1"/>
  <c r="I851" i="1"/>
  <c r="Q850" i="1"/>
  <c r="P850" i="1"/>
  <c r="O850" i="1"/>
  <c r="M850" i="1"/>
  <c r="L850" i="1"/>
  <c r="J850" i="1"/>
  <c r="I850" i="1"/>
  <c r="Q849" i="1"/>
  <c r="P849" i="1"/>
  <c r="O849" i="1"/>
  <c r="M849" i="1"/>
  <c r="L849" i="1"/>
  <c r="J849" i="1"/>
  <c r="I849" i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Q837" i="1"/>
  <c r="P837" i="1"/>
  <c r="O837" i="1"/>
  <c r="M837" i="1"/>
  <c r="L837" i="1"/>
  <c r="J837" i="1"/>
  <c r="I837" i="1"/>
  <c r="I835" i="1"/>
  <c r="J835" i="1" s="1"/>
  <c r="Q834" i="1"/>
  <c r="P834" i="1"/>
  <c r="O834" i="1"/>
  <c r="M834" i="1"/>
  <c r="L834" i="1"/>
  <c r="J834" i="1"/>
  <c r="I834" i="1"/>
  <c r="Q833" i="1"/>
  <c r="P833" i="1"/>
  <c r="O833" i="1"/>
  <c r="M833" i="1"/>
  <c r="L833" i="1"/>
  <c r="J833" i="1"/>
  <c r="I833" i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Q818" i="1"/>
  <c r="P818" i="1"/>
  <c r="O818" i="1"/>
  <c r="M818" i="1"/>
  <c r="L818" i="1"/>
  <c r="J818" i="1"/>
  <c r="I818" i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I801" i="1"/>
  <c r="J801" i="1" s="1"/>
  <c r="Q800" i="1"/>
  <c r="P800" i="1"/>
  <c r="O800" i="1"/>
  <c r="M800" i="1"/>
  <c r="L800" i="1"/>
  <c r="J800" i="1"/>
  <c r="I800" i="1"/>
  <c r="Q799" i="1"/>
  <c r="P799" i="1"/>
  <c r="O799" i="1"/>
  <c r="M799" i="1"/>
  <c r="L799" i="1"/>
  <c r="J799" i="1"/>
  <c r="I799" i="1"/>
  <c r="Q798" i="1"/>
  <c r="P798" i="1"/>
  <c r="O798" i="1"/>
  <c r="M798" i="1"/>
  <c r="L798" i="1"/>
  <c r="J798" i="1"/>
  <c r="I798" i="1"/>
  <c r="J797" i="1"/>
  <c r="J796" i="1"/>
  <c r="J795" i="1"/>
  <c r="J794" i="1"/>
  <c r="J793" i="1"/>
  <c r="J792" i="1"/>
  <c r="J791" i="1"/>
  <c r="J790" i="1"/>
  <c r="J789" i="1"/>
  <c r="J788" i="1"/>
  <c r="Q787" i="1"/>
  <c r="P787" i="1"/>
  <c r="O787" i="1"/>
  <c r="M787" i="1"/>
  <c r="L787" i="1"/>
  <c r="J787" i="1"/>
  <c r="I787" i="1"/>
  <c r="Q786" i="1"/>
  <c r="P786" i="1"/>
  <c r="O786" i="1"/>
  <c r="M786" i="1"/>
  <c r="L786" i="1"/>
  <c r="J786" i="1"/>
  <c r="I786" i="1"/>
  <c r="J785" i="1"/>
  <c r="J784" i="1"/>
  <c r="J783" i="1"/>
  <c r="J782" i="1"/>
  <c r="J781" i="1"/>
  <c r="J780" i="1"/>
  <c r="J779" i="1"/>
  <c r="J778" i="1"/>
  <c r="J777" i="1"/>
  <c r="J776" i="1"/>
  <c r="Q775" i="1"/>
  <c r="P775" i="1"/>
  <c r="O775" i="1"/>
  <c r="M775" i="1"/>
  <c r="L775" i="1"/>
  <c r="J775" i="1"/>
  <c r="I775" i="1"/>
  <c r="Q774" i="1"/>
  <c r="P774" i="1"/>
  <c r="O774" i="1"/>
  <c r="M774" i="1"/>
  <c r="L774" i="1"/>
  <c r="J774" i="1"/>
  <c r="I774" i="1"/>
  <c r="J773" i="1"/>
  <c r="J772" i="1"/>
  <c r="J771" i="1"/>
  <c r="J770" i="1"/>
  <c r="Q769" i="1"/>
  <c r="P769" i="1"/>
  <c r="O769" i="1"/>
  <c r="M769" i="1"/>
  <c r="L769" i="1"/>
  <c r="J769" i="1"/>
  <c r="I769" i="1"/>
  <c r="Q768" i="1"/>
  <c r="P768" i="1"/>
  <c r="O768" i="1"/>
  <c r="M768" i="1"/>
  <c r="L768" i="1"/>
  <c r="J768" i="1"/>
  <c r="I768" i="1"/>
  <c r="J767" i="1"/>
  <c r="J766" i="1"/>
  <c r="J765" i="1"/>
  <c r="Q764" i="1"/>
  <c r="P764" i="1"/>
  <c r="O764" i="1"/>
  <c r="M764" i="1"/>
  <c r="L764" i="1"/>
  <c r="J764" i="1"/>
  <c r="I764" i="1"/>
  <c r="Q763" i="1"/>
  <c r="P763" i="1"/>
  <c r="O763" i="1"/>
  <c r="M763" i="1"/>
  <c r="L763" i="1"/>
  <c r="J763" i="1"/>
  <c r="I763" i="1"/>
  <c r="J761" i="1"/>
  <c r="Q760" i="1"/>
  <c r="P760" i="1"/>
  <c r="O760" i="1"/>
  <c r="M760" i="1"/>
  <c r="L760" i="1"/>
  <c r="J760" i="1"/>
  <c r="I760" i="1"/>
  <c r="J758" i="1"/>
  <c r="J757" i="1"/>
  <c r="J756" i="1"/>
  <c r="J755" i="1"/>
  <c r="Q754" i="1"/>
  <c r="P754" i="1"/>
  <c r="O754" i="1"/>
  <c r="M754" i="1"/>
  <c r="L754" i="1"/>
  <c r="J754" i="1"/>
  <c r="I754" i="1"/>
  <c r="J752" i="1"/>
  <c r="J751" i="1"/>
  <c r="J750" i="1"/>
  <c r="J749" i="1"/>
  <c r="J748" i="1"/>
  <c r="J747" i="1"/>
  <c r="Q746" i="1"/>
  <c r="P746" i="1"/>
  <c r="O746" i="1"/>
  <c r="M746" i="1"/>
  <c r="L746" i="1"/>
  <c r="J746" i="1"/>
  <c r="I746" i="1"/>
  <c r="J744" i="1"/>
  <c r="J743" i="1"/>
  <c r="Q742" i="1"/>
  <c r="P742" i="1"/>
  <c r="O742" i="1"/>
  <c r="M742" i="1"/>
  <c r="L742" i="1"/>
  <c r="J742" i="1"/>
  <c r="I742" i="1"/>
  <c r="J740" i="1"/>
  <c r="J739" i="1"/>
  <c r="J738" i="1"/>
  <c r="Q737" i="1"/>
  <c r="P737" i="1"/>
  <c r="O737" i="1"/>
  <c r="M737" i="1"/>
  <c r="L737" i="1"/>
  <c r="J737" i="1"/>
  <c r="I737" i="1"/>
  <c r="J735" i="1"/>
  <c r="J734" i="1"/>
  <c r="J733" i="1"/>
  <c r="J732" i="1"/>
  <c r="Q731" i="1"/>
  <c r="P731" i="1"/>
  <c r="O731" i="1"/>
  <c r="M731" i="1"/>
  <c r="L731" i="1"/>
  <c r="J731" i="1"/>
  <c r="I731" i="1"/>
  <c r="Q730" i="1"/>
  <c r="P730" i="1"/>
  <c r="O730" i="1"/>
  <c r="M730" i="1"/>
  <c r="L730" i="1"/>
  <c r="J730" i="1"/>
  <c r="I730" i="1"/>
  <c r="J729" i="1"/>
  <c r="J728" i="1"/>
  <c r="Q727" i="1"/>
  <c r="P727" i="1"/>
  <c r="O727" i="1"/>
  <c r="N727" i="1"/>
  <c r="M727" i="1"/>
  <c r="L727" i="1"/>
  <c r="K727" i="1"/>
  <c r="J727" i="1"/>
  <c r="I727" i="1"/>
  <c r="I722" i="1"/>
  <c r="J722" i="1" s="1"/>
  <c r="Q721" i="1"/>
  <c r="P721" i="1"/>
  <c r="O721" i="1"/>
  <c r="M721" i="1"/>
  <c r="L721" i="1"/>
  <c r="J721" i="1"/>
  <c r="I721" i="1"/>
  <c r="Q720" i="1"/>
  <c r="P720" i="1"/>
  <c r="O720" i="1"/>
  <c r="M720" i="1"/>
  <c r="L720" i="1"/>
  <c r="J720" i="1"/>
  <c r="I720" i="1"/>
  <c r="I719" i="1"/>
  <c r="J719" i="1" s="1"/>
  <c r="Q718" i="1"/>
  <c r="P718" i="1"/>
  <c r="O718" i="1"/>
  <c r="M718" i="1"/>
  <c r="L718" i="1"/>
  <c r="J718" i="1"/>
  <c r="I718" i="1"/>
  <c r="Q717" i="1"/>
  <c r="P717" i="1"/>
  <c r="O717" i="1"/>
  <c r="M717" i="1"/>
  <c r="L717" i="1"/>
  <c r="J717" i="1"/>
  <c r="I717" i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Q707" i="1"/>
  <c r="P707" i="1"/>
  <c r="O707" i="1"/>
  <c r="M707" i="1"/>
  <c r="L707" i="1"/>
  <c r="J707" i="1"/>
  <c r="I707" i="1"/>
  <c r="Q706" i="1"/>
  <c r="P706" i="1"/>
  <c r="O706" i="1"/>
  <c r="M706" i="1"/>
  <c r="L706" i="1"/>
  <c r="J706" i="1"/>
  <c r="I706" i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Q694" i="1"/>
  <c r="P694" i="1"/>
  <c r="O694" i="1"/>
  <c r="M694" i="1"/>
  <c r="L694" i="1"/>
  <c r="J694" i="1"/>
  <c r="I694" i="1"/>
  <c r="Q693" i="1"/>
  <c r="P693" i="1"/>
  <c r="O693" i="1"/>
  <c r="M693" i="1"/>
  <c r="L693" i="1"/>
  <c r="J693" i="1"/>
  <c r="I693" i="1"/>
  <c r="I692" i="1"/>
  <c r="J692" i="1" s="1"/>
  <c r="I691" i="1"/>
  <c r="J691" i="1" s="1"/>
  <c r="I690" i="1"/>
  <c r="J690" i="1" s="1"/>
  <c r="I689" i="1"/>
  <c r="J689" i="1" s="1"/>
  <c r="I688" i="1"/>
  <c r="J688" i="1" s="1"/>
  <c r="Q687" i="1"/>
  <c r="P687" i="1"/>
  <c r="O687" i="1"/>
  <c r="M687" i="1"/>
  <c r="L687" i="1"/>
  <c r="J687" i="1"/>
  <c r="I687" i="1"/>
  <c r="Q686" i="1"/>
  <c r="P686" i="1"/>
  <c r="O686" i="1"/>
  <c r="M686" i="1"/>
  <c r="L686" i="1"/>
  <c r="J686" i="1"/>
  <c r="I686" i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Q671" i="1"/>
  <c r="P671" i="1"/>
  <c r="O671" i="1"/>
  <c r="M671" i="1"/>
  <c r="L671" i="1"/>
  <c r="J671" i="1"/>
  <c r="I671" i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Q631" i="1"/>
  <c r="P631" i="1"/>
  <c r="O631" i="1"/>
  <c r="M631" i="1"/>
  <c r="L631" i="1"/>
  <c r="J631" i="1"/>
  <c r="I631" i="1"/>
  <c r="Q630" i="1"/>
  <c r="P630" i="1"/>
  <c r="O630" i="1"/>
  <c r="M630" i="1"/>
  <c r="L630" i="1"/>
  <c r="J630" i="1"/>
  <c r="I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Q611" i="1"/>
  <c r="P611" i="1"/>
  <c r="O611" i="1"/>
  <c r="M611" i="1"/>
  <c r="L611" i="1"/>
  <c r="J611" i="1"/>
  <c r="I611" i="1"/>
  <c r="Q610" i="1"/>
  <c r="P610" i="1"/>
  <c r="O610" i="1"/>
  <c r="M610" i="1"/>
  <c r="L610" i="1"/>
  <c r="J610" i="1"/>
  <c r="I610" i="1"/>
  <c r="J609" i="1"/>
  <c r="J608" i="1"/>
  <c r="J607" i="1"/>
  <c r="J606" i="1"/>
  <c r="J605" i="1"/>
  <c r="J604" i="1"/>
  <c r="J603" i="1"/>
  <c r="Q602" i="1"/>
  <c r="P602" i="1"/>
  <c r="O602" i="1"/>
  <c r="N602" i="1"/>
  <c r="M602" i="1"/>
  <c r="L602" i="1"/>
  <c r="K602" i="1"/>
  <c r="J602" i="1"/>
  <c r="I602" i="1"/>
  <c r="Q601" i="1"/>
  <c r="P601" i="1"/>
  <c r="O601" i="1"/>
  <c r="N601" i="1"/>
  <c r="M601" i="1"/>
  <c r="L601" i="1"/>
  <c r="K601" i="1"/>
  <c r="J601" i="1"/>
  <c r="I601" i="1"/>
  <c r="J597" i="1"/>
  <c r="Q596" i="1"/>
  <c r="P596" i="1"/>
  <c r="O596" i="1"/>
  <c r="M596" i="1"/>
  <c r="L596" i="1"/>
  <c r="J596" i="1"/>
  <c r="I596" i="1"/>
  <c r="Q595" i="1"/>
  <c r="P595" i="1"/>
  <c r="O595" i="1"/>
  <c r="M595" i="1"/>
  <c r="L595" i="1"/>
  <c r="J595" i="1"/>
  <c r="I595" i="1"/>
  <c r="I594" i="1"/>
  <c r="J594" i="1" s="1"/>
  <c r="Q593" i="1"/>
  <c r="P593" i="1"/>
  <c r="O593" i="1"/>
  <c r="M593" i="1"/>
  <c r="L593" i="1"/>
  <c r="J593" i="1"/>
  <c r="I593" i="1"/>
  <c r="Q592" i="1"/>
  <c r="P592" i="1"/>
  <c r="O592" i="1"/>
  <c r="M592" i="1"/>
  <c r="L592" i="1"/>
  <c r="J592" i="1"/>
  <c r="I592" i="1"/>
  <c r="I591" i="1"/>
  <c r="J591" i="1" s="1"/>
  <c r="I590" i="1"/>
  <c r="J590" i="1" s="1"/>
  <c r="I589" i="1"/>
  <c r="J589" i="1" s="1"/>
  <c r="I588" i="1"/>
  <c r="J588" i="1" s="1"/>
  <c r="I587" i="1"/>
  <c r="J587" i="1" s="1"/>
  <c r="Q586" i="1"/>
  <c r="P586" i="1"/>
  <c r="O586" i="1"/>
  <c r="M586" i="1"/>
  <c r="L586" i="1"/>
  <c r="J586" i="1"/>
  <c r="I586" i="1"/>
  <c r="Q585" i="1"/>
  <c r="P585" i="1"/>
  <c r="O585" i="1"/>
  <c r="M585" i="1"/>
  <c r="L585" i="1"/>
  <c r="J585" i="1"/>
  <c r="I585" i="1"/>
  <c r="I584" i="1"/>
  <c r="J584" i="1" s="1"/>
  <c r="I583" i="1"/>
  <c r="J583" i="1" s="1"/>
  <c r="I582" i="1"/>
  <c r="J582" i="1" s="1"/>
  <c r="I581" i="1"/>
  <c r="J581" i="1" s="1"/>
  <c r="Q580" i="1"/>
  <c r="P580" i="1"/>
  <c r="O580" i="1"/>
  <c r="M580" i="1"/>
  <c r="L580" i="1"/>
  <c r="J580" i="1"/>
  <c r="I580" i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Q554" i="1"/>
  <c r="P554" i="1"/>
  <c r="O554" i="1"/>
  <c r="M554" i="1"/>
  <c r="L554" i="1"/>
  <c r="J554" i="1"/>
  <c r="I554" i="1"/>
  <c r="Q553" i="1"/>
  <c r="P553" i="1"/>
  <c r="O553" i="1"/>
  <c r="M553" i="1"/>
  <c r="L553" i="1"/>
  <c r="J553" i="1"/>
  <c r="I553" i="1"/>
  <c r="I552" i="1"/>
  <c r="J552" i="1" s="1"/>
  <c r="I551" i="1"/>
  <c r="J551" i="1" s="1"/>
  <c r="I550" i="1"/>
  <c r="J550" i="1" s="1"/>
  <c r="Q549" i="1"/>
  <c r="P549" i="1"/>
  <c r="O549" i="1"/>
  <c r="M549" i="1"/>
  <c r="L549" i="1"/>
  <c r="J549" i="1"/>
  <c r="I549" i="1"/>
  <c r="Q548" i="1"/>
  <c r="P548" i="1"/>
  <c r="O548" i="1"/>
  <c r="M548" i="1"/>
  <c r="L548" i="1"/>
  <c r="J548" i="1"/>
  <c r="I548" i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Q539" i="1"/>
  <c r="P539" i="1"/>
  <c r="O539" i="1"/>
  <c r="M539" i="1"/>
  <c r="L539" i="1"/>
  <c r="J539" i="1"/>
  <c r="I539" i="1"/>
  <c r="Q538" i="1"/>
  <c r="P538" i="1"/>
  <c r="O538" i="1"/>
  <c r="M538" i="1"/>
  <c r="L538" i="1"/>
  <c r="J538" i="1"/>
  <c r="I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Q525" i="1"/>
  <c r="P525" i="1"/>
  <c r="O525" i="1"/>
  <c r="M525" i="1"/>
  <c r="L525" i="1"/>
  <c r="J525" i="1"/>
  <c r="I525" i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Q514" i="1"/>
  <c r="P514" i="1"/>
  <c r="O514" i="1"/>
  <c r="M514" i="1"/>
  <c r="L514" i="1"/>
  <c r="J514" i="1"/>
  <c r="I514" i="1"/>
  <c r="Q513" i="1"/>
  <c r="P513" i="1"/>
  <c r="O513" i="1"/>
  <c r="M513" i="1"/>
  <c r="L513" i="1"/>
  <c r="J513" i="1"/>
  <c r="I513" i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Q494" i="1"/>
  <c r="P494" i="1"/>
  <c r="O494" i="1"/>
  <c r="M494" i="1"/>
  <c r="L494" i="1"/>
  <c r="J494" i="1"/>
  <c r="I494" i="1"/>
  <c r="Q493" i="1"/>
  <c r="P493" i="1"/>
  <c r="O493" i="1"/>
  <c r="M493" i="1"/>
  <c r="L493" i="1"/>
  <c r="J493" i="1"/>
  <c r="I493" i="1"/>
  <c r="J492" i="1"/>
  <c r="J491" i="1"/>
  <c r="J490" i="1"/>
  <c r="J489" i="1"/>
  <c r="J488" i="1"/>
  <c r="J487" i="1"/>
  <c r="J486" i="1"/>
  <c r="J485" i="1"/>
  <c r="J484" i="1"/>
  <c r="J483" i="1"/>
  <c r="J482" i="1"/>
  <c r="Q481" i="1"/>
  <c r="P481" i="1"/>
  <c r="O481" i="1"/>
  <c r="M481" i="1"/>
  <c r="L481" i="1"/>
  <c r="J481" i="1"/>
  <c r="I481" i="1"/>
  <c r="I479" i="1"/>
  <c r="J479" i="1" s="1"/>
  <c r="I478" i="1"/>
  <c r="J478" i="1" s="1"/>
  <c r="Q477" i="1"/>
  <c r="P477" i="1"/>
  <c r="O477" i="1"/>
  <c r="M477" i="1"/>
  <c r="L477" i="1"/>
  <c r="J477" i="1"/>
  <c r="I477" i="1"/>
  <c r="Q476" i="1"/>
  <c r="P476" i="1"/>
  <c r="O476" i="1"/>
  <c r="M476" i="1"/>
  <c r="L476" i="1"/>
  <c r="J476" i="1"/>
  <c r="I476" i="1"/>
  <c r="I475" i="1"/>
  <c r="J475" i="1" s="1"/>
  <c r="I474" i="1"/>
  <c r="J474" i="1" s="1"/>
  <c r="I473" i="1"/>
  <c r="J473" i="1" s="1"/>
  <c r="I472" i="1"/>
  <c r="J472" i="1" s="1"/>
  <c r="I471" i="1"/>
  <c r="J471" i="1" s="1"/>
  <c r="Q470" i="1"/>
  <c r="P470" i="1"/>
  <c r="O470" i="1"/>
  <c r="M470" i="1"/>
  <c r="L470" i="1"/>
  <c r="J470" i="1"/>
  <c r="I470" i="1"/>
  <c r="Q469" i="1"/>
  <c r="P469" i="1"/>
  <c r="O469" i="1"/>
  <c r="M469" i="1"/>
  <c r="L469" i="1"/>
  <c r="J469" i="1"/>
  <c r="I469" i="1"/>
  <c r="J468" i="1"/>
  <c r="J467" i="1"/>
  <c r="J466" i="1"/>
  <c r="J465" i="1"/>
  <c r="Q464" i="1"/>
  <c r="P464" i="1"/>
  <c r="O464" i="1"/>
  <c r="M464" i="1"/>
  <c r="L464" i="1"/>
  <c r="J464" i="1"/>
  <c r="I464" i="1"/>
  <c r="Q463" i="1"/>
  <c r="P463" i="1"/>
  <c r="O463" i="1"/>
  <c r="M463" i="1"/>
  <c r="L463" i="1"/>
  <c r="J463" i="1"/>
  <c r="I463" i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Q431" i="1"/>
  <c r="P431" i="1"/>
  <c r="O431" i="1"/>
  <c r="M431" i="1"/>
  <c r="L431" i="1"/>
  <c r="J431" i="1"/>
  <c r="I431" i="1"/>
  <c r="Q430" i="1"/>
  <c r="P430" i="1"/>
  <c r="O430" i="1"/>
  <c r="M430" i="1"/>
  <c r="L430" i="1"/>
  <c r="J430" i="1"/>
  <c r="I430" i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Q409" i="1"/>
  <c r="P409" i="1"/>
  <c r="O409" i="1"/>
  <c r="M409" i="1"/>
  <c r="L409" i="1"/>
  <c r="J409" i="1"/>
  <c r="I409" i="1"/>
  <c r="Q408" i="1"/>
  <c r="P408" i="1"/>
  <c r="O408" i="1"/>
  <c r="M408" i="1"/>
  <c r="L408" i="1"/>
  <c r="J408" i="1"/>
  <c r="I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Q391" i="1"/>
  <c r="P391" i="1"/>
  <c r="O391" i="1"/>
  <c r="N391" i="1"/>
  <c r="M391" i="1"/>
  <c r="L391" i="1"/>
  <c r="K391" i="1"/>
  <c r="J391" i="1"/>
  <c r="I391" i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Q378" i="1"/>
  <c r="P378" i="1"/>
  <c r="O378" i="1"/>
  <c r="M378" i="1"/>
  <c r="L378" i="1"/>
  <c r="J378" i="1"/>
  <c r="I378" i="1"/>
  <c r="Q377" i="1"/>
  <c r="P377" i="1"/>
  <c r="O377" i="1"/>
  <c r="M377" i="1"/>
  <c r="L377" i="1"/>
  <c r="J377" i="1"/>
  <c r="I377" i="1"/>
  <c r="J376" i="1"/>
  <c r="J375" i="1"/>
  <c r="J374" i="1"/>
  <c r="J373" i="1"/>
  <c r="J372" i="1"/>
  <c r="I40" i="1"/>
  <c r="J40" i="1"/>
  <c r="K40" i="1"/>
  <c r="L40" i="1"/>
  <c r="M40" i="1"/>
  <c r="N40" i="1"/>
  <c r="O40" i="1"/>
  <c r="P40" i="1"/>
  <c r="Q40" i="1"/>
  <c r="I39" i="1"/>
  <c r="J39" i="1" s="1"/>
  <c r="I38" i="1"/>
  <c r="J38" i="1" s="1"/>
  <c r="I37" i="1"/>
  <c r="J37" i="1" s="1"/>
  <c r="G97" i="1" l="1"/>
  <c r="L902" i="1"/>
  <c r="O902" i="1"/>
  <c r="L864" i="1"/>
  <c r="L756" i="1"/>
  <c r="L743" i="1"/>
  <c r="L842" i="1"/>
  <c r="L812" i="1"/>
  <c r="O622" i="1"/>
  <c r="O743" i="1"/>
  <c r="L822" i="1"/>
  <c r="L750" i="1"/>
  <c r="O755" i="1"/>
  <c r="L765" i="1"/>
  <c r="L789" i="1"/>
  <c r="O734" i="1"/>
  <c r="O756" i="1"/>
  <c r="L843" i="1"/>
  <c r="L827" i="1"/>
  <c r="O876" i="1"/>
  <c r="O882" i="1"/>
  <c r="O841" i="1"/>
  <c r="L808" i="1"/>
  <c r="L881" i="1"/>
  <c r="L884" i="1"/>
  <c r="L887" i="1"/>
  <c r="L107" i="1"/>
  <c r="O107" i="1"/>
  <c r="L802" i="1"/>
  <c r="O747" i="1"/>
  <c r="O828" i="1"/>
  <c r="L831" i="1"/>
  <c r="L848" i="1"/>
  <c r="O858" i="1"/>
  <c r="O814" i="1"/>
  <c r="L781" i="1"/>
  <c r="O748" i="1"/>
  <c r="O751" i="1"/>
  <c r="O772" i="1"/>
  <c r="O778" i="1"/>
  <c r="O790" i="1"/>
  <c r="O793" i="1"/>
  <c r="O796" i="1"/>
  <c r="L815" i="1"/>
  <c r="L829" i="1"/>
  <c r="L846" i="1"/>
  <c r="L890" i="1"/>
  <c r="L788" i="1"/>
  <c r="L797" i="1"/>
  <c r="O767" i="1"/>
  <c r="O791" i="1"/>
  <c r="O794" i="1"/>
  <c r="O797" i="1"/>
  <c r="L11" i="10"/>
  <c r="L10" i="10"/>
  <c r="O10" i="10"/>
  <c r="O11" i="10"/>
  <c r="R17" i="10"/>
  <c r="K13" i="10"/>
  <c r="K15" i="10"/>
  <c r="L11" i="9"/>
  <c r="O11" i="9"/>
  <c r="L10" i="9"/>
  <c r="R17" i="9" s="1"/>
  <c r="O10" i="9"/>
  <c r="R19" i="9" s="1"/>
  <c r="K15" i="9"/>
  <c r="L11" i="8"/>
  <c r="O11" i="8"/>
  <c r="O10" i="8"/>
  <c r="L10" i="8"/>
  <c r="L740" i="1"/>
  <c r="L811" i="1"/>
  <c r="L844" i="1"/>
  <c r="L863" i="1"/>
  <c r="O766" i="1"/>
  <c r="O847" i="1"/>
  <c r="O684" i="1"/>
  <c r="O735" i="1"/>
  <c r="L751" i="1"/>
  <c r="L772" i="1"/>
  <c r="L784" i="1"/>
  <c r="L793" i="1"/>
  <c r="O749" i="1"/>
  <c r="L752" i="1"/>
  <c r="O757" i="1"/>
  <c r="O788" i="1"/>
  <c r="O852" i="1"/>
  <c r="L656" i="1"/>
  <c r="L662" i="1"/>
  <c r="L665" i="1"/>
  <c r="O733" i="1"/>
  <c r="O809" i="1"/>
  <c r="L757" i="1"/>
  <c r="O867" i="1"/>
  <c r="O871" i="1"/>
  <c r="O874" i="1"/>
  <c r="L889" i="1"/>
  <c r="L677" i="1"/>
  <c r="L689" i="1"/>
  <c r="L810" i="1"/>
  <c r="O823" i="1"/>
  <c r="L859" i="1"/>
  <c r="L862" i="1"/>
  <c r="L739" i="1"/>
  <c r="L747" i="1"/>
  <c r="O807" i="1"/>
  <c r="L609" i="1"/>
  <c r="L612" i="1"/>
  <c r="L636" i="1"/>
  <c r="L728" i="1"/>
  <c r="O739" i="1"/>
  <c r="L777" i="1"/>
  <c r="L780" i="1"/>
  <c r="L792" i="1"/>
  <c r="L805" i="1"/>
  <c r="L824" i="1"/>
  <c r="O835" i="1"/>
  <c r="L875" i="1"/>
  <c r="O777" i="1"/>
  <c r="O795" i="1"/>
  <c r="O854" i="1"/>
  <c r="O10" i="5"/>
  <c r="Q12" i="5" s="1"/>
  <c r="K12" i="5"/>
  <c r="L652" i="1"/>
  <c r="L755" i="1"/>
  <c r="L767" i="1"/>
  <c r="O781" i="1"/>
  <c r="O784" i="1"/>
  <c r="L790" i="1"/>
  <c r="L796" i="1"/>
  <c r="O810" i="1"/>
  <c r="O822" i="1"/>
  <c r="L841" i="1"/>
  <c r="O853" i="1"/>
  <c r="L880" i="1"/>
  <c r="L776" i="1"/>
  <c r="O808" i="1"/>
  <c r="L857" i="1"/>
  <c r="O758" i="1"/>
  <c r="O773" i="1"/>
  <c r="O776" i="1"/>
  <c r="O552" i="1"/>
  <c r="L729" i="1"/>
  <c r="L735" i="1"/>
  <c r="L771" i="1"/>
  <c r="O782" i="1"/>
  <c r="L847" i="1"/>
  <c r="O857" i="1"/>
  <c r="O875" i="1"/>
  <c r="O404" i="1"/>
  <c r="O428" i="1"/>
  <c r="O729" i="1"/>
  <c r="O740" i="1"/>
  <c r="O761" i="1"/>
  <c r="O765" i="1"/>
  <c r="L809" i="1"/>
  <c r="O801" i="1"/>
  <c r="L804" i="1"/>
  <c r="O816" i="1"/>
  <c r="L819" i="1"/>
  <c r="O821" i="1"/>
  <c r="O842" i="1"/>
  <c r="O866" i="1"/>
  <c r="L876" i="1"/>
  <c r="O879" i="1"/>
  <c r="L840" i="1"/>
  <c r="O890" i="1"/>
  <c r="O815" i="1"/>
  <c r="L660" i="1"/>
  <c r="O780" i="1"/>
  <c r="O792" i="1"/>
  <c r="L807" i="1"/>
  <c r="O840" i="1"/>
  <c r="L888" i="1"/>
  <c r="L400" i="1"/>
  <c r="O789" i="1"/>
  <c r="L778" i="1"/>
  <c r="O824" i="1"/>
  <c r="L830" i="1"/>
  <c r="L867" i="1"/>
  <c r="L874" i="1"/>
  <c r="O696" i="1"/>
  <c r="O892" i="1"/>
  <c r="L10" i="3"/>
  <c r="O10" i="3"/>
  <c r="O803" i="1"/>
  <c r="L803" i="1"/>
  <c r="O862" i="1"/>
  <c r="L828" i="1"/>
  <c r="L879" i="1"/>
  <c r="O885" i="1"/>
  <c r="L885" i="1"/>
  <c r="L886" i="1"/>
  <c r="O886" i="1"/>
  <c r="L653" i="1"/>
  <c r="O728" i="1"/>
  <c r="L734" i="1"/>
  <c r="L761" i="1"/>
  <c r="L770" i="1"/>
  <c r="L773" i="1"/>
  <c r="O802" i="1"/>
  <c r="O804" i="1"/>
  <c r="O811" i="1"/>
  <c r="L814" i="1"/>
  <c r="L816" i="1"/>
  <c r="L821" i="1"/>
  <c r="L823" i="1"/>
  <c r="L838" i="1"/>
  <c r="L866" i="1"/>
  <c r="O884" i="1"/>
  <c r="L749" i="1"/>
  <c r="L794" i="1"/>
  <c r="O830" i="1"/>
  <c r="L845" i="1"/>
  <c r="L854" i="1"/>
  <c r="L744" i="1"/>
  <c r="L779" i="1"/>
  <c r="L826" i="1"/>
  <c r="O845" i="1"/>
  <c r="O859" i="1"/>
  <c r="L529" i="1"/>
  <c r="O606" i="1"/>
  <c r="O615" i="1"/>
  <c r="O618" i="1"/>
  <c r="O621" i="1"/>
  <c r="L732" i="1"/>
  <c r="O744" i="1"/>
  <c r="O752" i="1"/>
  <c r="O779" i="1"/>
  <c r="L782" i="1"/>
  <c r="L785" i="1"/>
  <c r="O819" i="1"/>
  <c r="O826" i="1"/>
  <c r="O864" i="1"/>
  <c r="O880" i="1"/>
  <c r="L766" i="1"/>
  <c r="O771" i="1"/>
  <c r="O805" i="1"/>
  <c r="L883" i="1"/>
  <c r="O732" i="1"/>
  <c r="O785" i="1"/>
  <c r="L795" i="1"/>
  <c r="L801" i="1"/>
  <c r="L839" i="1"/>
  <c r="O843" i="1"/>
  <c r="L852" i="1"/>
  <c r="L865" i="1"/>
  <c r="L871" i="1"/>
  <c r="O883" i="1"/>
  <c r="O887" i="1"/>
  <c r="L672" i="1"/>
  <c r="L701" i="1"/>
  <c r="L738" i="1"/>
  <c r="O750" i="1"/>
  <c r="L806" i="1"/>
  <c r="O839" i="1"/>
  <c r="L813" i="1"/>
  <c r="L820" i="1"/>
  <c r="L435" i="1"/>
  <c r="O628" i="1"/>
  <c r="O678" i="1"/>
  <c r="L733" i="1"/>
  <c r="O738" i="1"/>
  <c r="L748" i="1"/>
  <c r="L758" i="1"/>
  <c r="L783" i="1"/>
  <c r="L791" i="1"/>
  <c r="O813" i="1"/>
  <c r="O820" i="1"/>
  <c r="L825" i="1"/>
  <c r="O827" i="1"/>
  <c r="O829" i="1"/>
  <c r="O846" i="1"/>
  <c r="O848" i="1"/>
  <c r="L853" i="1"/>
  <c r="L858" i="1"/>
  <c r="O881" i="1"/>
  <c r="O485" i="1"/>
  <c r="O783" i="1"/>
  <c r="L832" i="1"/>
  <c r="L835" i="1"/>
  <c r="L894" i="1"/>
  <c r="O770" i="1"/>
  <c r="O832" i="1"/>
  <c r="O863" i="1"/>
  <c r="L882" i="1"/>
  <c r="O894" i="1"/>
  <c r="O838" i="1"/>
  <c r="O889" i="1"/>
  <c r="L892" i="1"/>
  <c r="O812" i="1"/>
  <c r="L893" i="1"/>
  <c r="O831" i="1"/>
  <c r="O893" i="1"/>
  <c r="O865" i="1"/>
  <c r="O806" i="1"/>
  <c r="O891" i="1"/>
  <c r="L891" i="1"/>
  <c r="O844" i="1"/>
  <c r="O888" i="1"/>
  <c r="O825" i="1"/>
  <c r="O529" i="1"/>
  <c r="L642" i="1"/>
  <c r="L648" i="1"/>
  <c r="L616" i="1"/>
  <c r="L625" i="1"/>
  <c r="L634" i="1"/>
  <c r="O616" i="1"/>
  <c r="L679" i="1"/>
  <c r="L713" i="1"/>
  <c r="L719" i="1"/>
  <c r="L397" i="1"/>
  <c r="L620" i="1"/>
  <c r="L632" i="1"/>
  <c r="L635" i="1"/>
  <c r="L685" i="1"/>
  <c r="L708" i="1"/>
  <c r="O608" i="1"/>
  <c r="O614" i="1"/>
  <c r="O617" i="1"/>
  <c r="O620" i="1"/>
  <c r="O660" i="1"/>
  <c r="L644" i="1"/>
  <c r="L647" i="1"/>
  <c r="L675" i="1"/>
  <c r="L649" i="1"/>
  <c r="O510" i="1"/>
  <c r="O655" i="1"/>
  <c r="L453" i="1"/>
  <c r="L627" i="1"/>
  <c r="O641" i="1"/>
  <c r="L658" i="1"/>
  <c r="L640" i="1"/>
  <c r="O403" i="1"/>
  <c r="O451" i="1"/>
  <c r="O489" i="1"/>
  <c r="L614" i="1"/>
  <c r="L628" i="1"/>
  <c r="L650" i="1"/>
  <c r="L655" i="1"/>
  <c r="L666" i="1"/>
  <c r="L674" i="1"/>
  <c r="L703" i="1"/>
  <c r="L527" i="1"/>
  <c r="O597" i="1"/>
  <c r="L606" i="1"/>
  <c r="L637" i="1"/>
  <c r="O698" i="1"/>
  <c r="L392" i="1"/>
  <c r="O527" i="1"/>
  <c r="O603" i="1"/>
  <c r="L712" i="1"/>
  <c r="L698" i="1"/>
  <c r="O394" i="1"/>
  <c r="O402" i="1"/>
  <c r="O426" i="1"/>
  <c r="L485" i="1"/>
  <c r="L615" i="1"/>
  <c r="O623" i="1"/>
  <c r="O626" i="1"/>
  <c r="O629" i="1"/>
  <c r="O642" i="1"/>
  <c r="O672" i="1"/>
  <c r="L680" i="1"/>
  <c r="L699" i="1"/>
  <c r="O712" i="1"/>
  <c r="L638" i="1"/>
  <c r="L654" i="1"/>
  <c r="L659" i="1"/>
  <c r="O680" i="1"/>
  <c r="L683" i="1"/>
  <c r="L691" i="1"/>
  <c r="L710" i="1"/>
  <c r="L597" i="1"/>
  <c r="O647" i="1"/>
  <c r="L429" i="1"/>
  <c r="L624" i="1"/>
  <c r="L668" i="1"/>
  <c r="L681" i="1"/>
  <c r="O528" i="1"/>
  <c r="L569" i="1"/>
  <c r="O613" i="1"/>
  <c r="O624" i="1"/>
  <c r="O627" i="1"/>
  <c r="L641" i="1"/>
  <c r="O665" i="1"/>
  <c r="L684" i="1"/>
  <c r="O443" i="1"/>
  <c r="O420" i="1"/>
  <c r="O486" i="1"/>
  <c r="L605" i="1"/>
  <c r="O676" i="1"/>
  <c r="O708" i="1"/>
  <c r="L690" i="1"/>
  <c r="O690" i="1"/>
  <c r="L709" i="1"/>
  <c r="O653" i="1"/>
  <c r="L661" i="1"/>
  <c r="L664" i="1"/>
  <c r="L667" i="1"/>
  <c r="L704" i="1"/>
  <c r="O635" i="1"/>
  <c r="L714" i="1"/>
  <c r="O714" i="1"/>
  <c r="L702" i="1"/>
  <c r="O702" i="1"/>
  <c r="L643" i="1"/>
  <c r="L646" i="1"/>
  <c r="L673" i="1"/>
  <c r="L697" i="1"/>
  <c r="L692" i="1"/>
  <c r="L695" i="1"/>
  <c r="O710" i="1"/>
  <c r="O399" i="1"/>
  <c r="O396" i="1"/>
  <c r="L403" i="1"/>
  <c r="L537" i="1"/>
  <c r="L603" i="1"/>
  <c r="L621" i="1"/>
  <c r="O633" i="1"/>
  <c r="O651" i="1"/>
  <c r="O669" i="1"/>
  <c r="L676" i="1"/>
  <c r="L705" i="1"/>
  <c r="L401" i="1"/>
  <c r="L491" i="1"/>
  <c r="L528" i="1"/>
  <c r="O559" i="1"/>
  <c r="L619" i="1"/>
  <c r="L626" i="1"/>
  <c r="O640" i="1"/>
  <c r="O658" i="1"/>
  <c r="L715" i="1"/>
  <c r="O649" i="1"/>
  <c r="L411" i="1"/>
  <c r="L418" i="1"/>
  <c r="L604" i="1"/>
  <c r="L617" i="1"/>
  <c r="O619" i="1"/>
  <c r="L629" i="1"/>
  <c r="O645" i="1"/>
  <c r="O663" i="1"/>
  <c r="O674" i="1"/>
  <c r="O683" i="1"/>
  <c r="O685" i="1"/>
  <c r="L688" i="1"/>
  <c r="O701" i="1"/>
  <c r="O703" i="1"/>
  <c r="O609" i="1"/>
  <c r="L442" i="1"/>
  <c r="O475" i="1"/>
  <c r="O533" i="1"/>
  <c r="O604" i="1"/>
  <c r="O612" i="1"/>
  <c r="O636" i="1"/>
  <c r="O654" i="1"/>
  <c r="O681" i="1"/>
  <c r="O688" i="1"/>
  <c r="O692" i="1"/>
  <c r="L711" i="1"/>
  <c r="L607" i="1"/>
  <c r="L622" i="1"/>
  <c r="O634" i="1"/>
  <c r="O652" i="1"/>
  <c r="O713" i="1"/>
  <c r="L645" i="1"/>
  <c r="O667" i="1"/>
  <c r="O433" i="1"/>
  <c r="O509" i="1"/>
  <c r="O584" i="1"/>
  <c r="L594" i="1"/>
  <c r="O607" i="1"/>
  <c r="L613" i="1"/>
  <c r="L639" i="1"/>
  <c r="O643" i="1"/>
  <c r="L657" i="1"/>
  <c r="O661" i="1"/>
  <c r="O677" i="1"/>
  <c r="O679" i="1"/>
  <c r="O695" i="1"/>
  <c r="O697" i="1"/>
  <c r="O569" i="1"/>
  <c r="O639" i="1"/>
  <c r="O657" i="1"/>
  <c r="O659" i="1"/>
  <c r="L716" i="1"/>
  <c r="L407" i="1"/>
  <c r="L546" i="1"/>
  <c r="O648" i="1"/>
  <c r="O666" i="1"/>
  <c r="L682" i="1"/>
  <c r="L700" i="1"/>
  <c r="O716" i="1"/>
  <c r="L398" i="1"/>
  <c r="O407" i="1"/>
  <c r="L424" i="1"/>
  <c r="L500" i="1"/>
  <c r="O521" i="1"/>
  <c r="L523" i="1"/>
  <c r="O605" i="1"/>
  <c r="L608" i="1"/>
  <c r="L618" i="1"/>
  <c r="L623" i="1"/>
  <c r="O646" i="1"/>
  <c r="O664" i="1"/>
  <c r="O673" i="1"/>
  <c r="L678" i="1"/>
  <c r="O682" i="1"/>
  <c r="L696" i="1"/>
  <c r="O700" i="1"/>
  <c r="O704" i="1"/>
  <c r="O709" i="1"/>
  <c r="L663" i="1"/>
  <c r="O462" i="1"/>
  <c r="O505" i="1"/>
  <c r="O625" i="1"/>
  <c r="L633" i="1"/>
  <c r="O637" i="1"/>
  <c r="L651" i="1"/>
  <c r="L669" i="1"/>
  <c r="O689" i="1"/>
  <c r="O691" i="1"/>
  <c r="O719" i="1"/>
  <c r="O705" i="1"/>
  <c r="O638" i="1"/>
  <c r="O656" i="1"/>
  <c r="O715" i="1"/>
  <c r="O699" i="1"/>
  <c r="O632" i="1"/>
  <c r="O650" i="1"/>
  <c r="O668" i="1"/>
  <c r="O711" i="1"/>
  <c r="L447" i="1"/>
  <c r="O675" i="1"/>
  <c r="L722" i="1"/>
  <c r="O644" i="1"/>
  <c r="O662" i="1"/>
  <c r="O722" i="1"/>
  <c r="L406" i="1"/>
  <c r="O447" i="1"/>
  <c r="L502" i="1"/>
  <c r="O517" i="1"/>
  <c r="O526" i="1"/>
  <c r="L545" i="1"/>
  <c r="L547" i="1"/>
  <c r="O563" i="1"/>
  <c r="O590" i="1"/>
  <c r="L432" i="1"/>
  <c r="O536" i="1"/>
  <c r="L575" i="1"/>
  <c r="O504" i="1"/>
  <c r="L450" i="1"/>
  <c r="L483" i="1"/>
  <c r="L531" i="1"/>
  <c r="O397" i="1"/>
  <c r="O432" i="1"/>
  <c r="O439" i="1"/>
  <c r="O441" i="1"/>
  <c r="L467" i="1"/>
  <c r="L472" i="1"/>
  <c r="O479" i="1"/>
  <c r="O483" i="1"/>
  <c r="L488" i="1"/>
  <c r="O531" i="1"/>
  <c r="L557" i="1"/>
  <c r="L573" i="1"/>
  <c r="O416" i="1"/>
  <c r="O534" i="1"/>
  <c r="O411" i="1"/>
  <c r="O498" i="1"/>
  <c r="O393" i="1"/>
  <c r="O414" i="1"/>
  <c r="O444" i="1"/>
  <c r="L486" i="1"/>
  <c r="O491" i="1"/>
  <c r="L516" i="1"/>
  <c r="L591" i="1"/>
  <c r="L505" i="1"/>
  <c r="L555" i="1"/>
  <c r="L412" i="1"/>
  <c r="L468" i="1"/>
  <c r="L475" i="1"/>
  <c r="L496" i="1"/>
  <c r="L584" i="1"/>
  <c r="O412" i="1"/>
  <c r="L417" i="1"/>
  <c r="O419" i="1"/>
  <c r="O456" i="1"/>
  <c r="L461" i="1"/>
  <c r="L466" i="1"/>
  <c r="L487" i="1"/>
  <c r="L499" i="1"/>
  <c r="L530" i="1"/>
  <c r="L535" i="1"/>
  <c r="O537" i="1"/>
  <c r="L551" i="1"/>
  <c r="O572" i="1"/>
  <c r="L587" i="1"/>
  <c r="L410" i="1"/>
  <c r="O415" i="1"/>
  <c r="O424" i="1"/>
  <c r="O471" i="1"/>
  <c r="O558" i="1"/>
  <c r="L433" i="1"/>
  <c r="O445" i="1"/>
  <c r="L394" i="1"/>
  <c r="L399" i="1"/>
  <c r="O401" i="1"/>
  <c r="O427" i="1"/>
  <c r="L445" i="1"/>
  <c r="O454" i="1"/>
  <c r="L478" i="1"/>
  <c r="O487" i="1"/>
  <c r="O497" i="1"/>
  <c r="L517" i="1"/>
  <c r="L526" i="1"/>
  <c r="L533" i="1"/>
  <c r="L561" i="1"/>
  <c r="L563" i="1"/>
  <c r="O421" i="1"/>
  <c r="L421" i="1"/>
  <c r="L423" i="1"/>
  <c r="O440" i="1"/>
  <c r="O457" i="1"/>
  <c r="L457" i="1"/>
  <c r="L459" i="1"/>
  <c r="O452" i="1"/>
  <c r="O502" i="1"/>
  <c r="O500" i="1"/>
  <c r="L440" i="1"/>
  <c r="O446" i="1"/>
  <c r="O474" i="1"/>
  <c r="L498" i="1"/>
  <c r="L504" i="1"/>
  <c r="O508" i="1"/>
  <c r="O547" i="1"/>
  <c r="O567" i="1"/>
  <c r="O574" i="1"/>
  <c r="O582" i="1"/>
  <c r="O392" i="1"/>
  <c r="L396" i="1"/>
  <c r="L404" i="1"/>
  <c r="O410" i="1"/>
  <c r="L422" i="1"/>
  <c r="O434" i="1"/>
  <c r="L449" i="1"/>
  <c r="L451" i="1"/>
  <c r="L455" i="1"/>
  <c r="L479" i="1"/>
  <c r="L490" i="1"/>
  <c r="L492" i="1"/>
  <c r="L511" i="1"/>
  <c r="O530" i="1"/>
  <c r="L532" i="1"/>
  <c r="L534" i="1"/>
  <c r="O545" i="1"/>
  <c r="L536" i="1"/>
  <c r="O398" i="1"/>
  <c r="L402" i="1"/>
  <c r="O422" i="1"/>
  <c r="O455" i="1"/>
  <c r="O522" i="1"/>
  <c r="O532" i="1"/>
  <c r="L543" i="1"/>
  <c r="L382" i="1"/>
  <c r="O400" i="1"/>
  <c r="O406" i="1"/>
  <c r="L441" i="1"/>
  <c r="L443" i="1"/>
  <c r="O453" i="1"/>
  <c r="O466" i="1"/>
  <c r="O468" i="1"/>
  <c r="L473" i="1"/>
  <c r="O488" i="1"/>
  <c r="O490" i="1"/>
  <c r="O492" i="1"/>
  <c r="L509" i="1"/>
  <c r="L520" i="1"/>
  <c r="L522" i="1"/>
  <c r="O543" i="1"/>
  <c r="O564" i="1"/>
  <c r="L566" i="1"/>
  <c r="L583" i="1"/>
  <c r="O587" i="1"/>
  <c r="L434" i="1"/>
  <c r="L437" i="1"/>
  <c r="L439" i="1"/>
  <c r="O459" i="1"/>
  <c r="O473" i="1"/>
  <c r="L484" i="1"/>
  <c r="L501" i="1"/>
  <c r="O557" i="1"/>
  <c r="O566" i="1"/>
  <c r="O482" i="1"/>
  <c r="O499" i="1"/>
  <c r="O501" i="1"/>
  <c r="L428" i="1"/>
  <c r="L413" i="1"/>
  <c r="L419" i="1"/>
  <c r="L425" i="1"/>
  <c r="O437" i="1"/>
  <c r="O450" i="1"/>
  <c r="L454" i="1"/>
  <c r="L456" i="1"/>
  <c r="L482" i="1"/>
  <c r="O484" i="1"/>
  <c r="O516" i="1"/>
  <c r="O546" i="1"/>
  <c r="O555" i="1"/>
  <c r="O560" i="1"/>
  <c r="O575" i="1"/>
  <c r="L581" i="1"/>
  <c r="L452" i="1"/>
  <c r="L512" i="1"/>
  <c r="O573" i="1"/>
  <c r="O581" i="1"/>
  <c r="L590" i="1"/>
  <c r="L393" i="1"/>
  <c r="L395" i="1"/>
  <c r="L405" i="1"/>
  <c r="O417" i="1"/>
  <c r="O429" i="1"/>
  <c r="O435" i="1"/>
  <c r="L458" i="1"/>
  <c r="L465" i="1"/>
  <c r="O535" i="1"/>
  <c r="O540" i="1"/>
  <c r="L542" i="1"/>
  <c r="L565" i="1"/>
  <c r="L416" i="1"/>
  <c r="O395" i="1"/>
  <c r="O423" i="1"/>
  <c r="O438" i="1"/>
  <c r="L446" i="1"/>
  <c r="O458" i="1"/>
  <c r="O465" i="1"/>
  <c r="O467" i="1"/>
  <c r="L474" i="1"/>
  <c r="O478" i="1"/>
  <c r="L489" i="1"/>
  <c r="L508" i="1"/>
  <c r="L510" i="1"/>
  <c r="O512" i="1"/>
  <c r="L519" i="1"/>
  <c r="L540" i="1"/>
  <c r="O542" i="1"/>
  <c r="O551" i="1"/>
  <c r="L567" i="1"/>
  <c r="O576" i="1"/>
  <c r="O571" i="1"/>
  <c r="L571" i="1"/>
  <c r="L414" i="1"/>
  <c r="L426" i="1"/>
  <c r="O460" i="1"/>
  <c r="L460" i="1"/>
  <c r="O589" i="1"/>
  <c r="L589" i="1"/>
  <c r="L374" i="1"/>
  <c r="L379" i="1"/>
  <c r="L550" i="1"/>
  <c r="L552" i="1"/>
  <c r="O506" i="1"/>
  <c r="L506" i="1"/>
  <c r="O515" i="1"/>
  <c r="L515" i="1"/>
  <c r="O565" i="1"/>
  <c r="O583" i="1"/>
  <c r="O591" i="1"/>
  <c r="L372" i="1"/>
  <c r="L420" i="1"/>
  <c r="O495" i="1"/>
  <c r="L495" i="1"/>
  <c r="L497" i="1"/>
  <c r="L521" i="1"/>
  <c r="O550" i="1"/>
  <c r="L559" i="1"/>
  <c r="O561" i="1"/>
  <c r="O372" i="1"/>
  <c r="O418" i="1"/>
  <c r="O449" i="1"/>
  <c r="O503" i="1"/>
  <c r="L503" i="1"/>
  <c r="O523" i="1"/>
  <c r="O413" i="1"/>
  <c r="O425" i="1"/>
  <c r="O436" i="1"/>
  <c r="L436" i="1"/>
  <c r="L438" i="1"/>
  <c r="O472" i="1"/>
  <c r="O507" i="1"/>
  <c r="L507" i="1"/>
  <c r="O519" i="1"/>
  <c r="O544" i="1"/>
  <c r="L544" i="1"/>
  <c r="L574" i="1"/>
  <c r="L576" i="1"/>
  <c r="O38" i="1"/>
  <c r="L375" i="1"/>
  <c r="L380" i="1"/>
  <c r="O382" i="1"/>
  <c r="L415" i="1"/>
  <c r="L427" i="1"/>
  <c r="L444" i="1"/>
  <c r="O461" i="1"/>
  <c r="O511" i="1"/>
  <c r="L572" i="1"/>
  <c r="L588" i="1"/>
  <c r="O594" i="1"/>
  <c r="O373" i="1"/>
  <c r="O375" i="1"/>
  <c r="L562" i="1"/>
  <c r="L564" i="1"/>
  <c r="O568" i="1"/>
  <c r="L568" i="1"/>
  <c r="L570" i="1"/>
  <c r="L582" i="1"/>
  <c r="O588" i="1"/>
  <c r="O442" i="1"/>
  <c r="L560" i="1"/>
  <c r="O570" i="1"/>
  <c r="O448" i="1"/>
  <c r="L448" i="1"/>
  <c r="L558" i="1"/>
  <c r="O562" i="1"/>
  <c r="O376" i="1"/>
  <c r="O405" i="1"/>
  <c r="L462" i="1"/>
  <c r="L471" i="1"/>
  <c r="O496" i="1"/>
  <c r="O518" i="1"/>
  <c r="L518" i="1"/>
  <c r="O520" i="1"/>
  <c r="O541" i="1"/>
  <c r="L541" i="1"/>
  <c r="O556" i="1"/>
  <c r="L556" i="1"/>
  <c r="O384" i="1"/>
  <c r="L373" i="1"/>
  <c r="L376" i="1"/>
  <c r="O383" i="1"/>
  <c r="O374" i="1"/>
  <c r="L384" i="1"/>
  <c r="L385" i="1"/>
  <c r="L381" i="1"/>
  <c r="O381" i="1"/>
  <c r="L383" i="1"/>
  <c r="O385" i="1"/>
  <c r="O379" i="1"/>
  <c r="L386" i="1"/>
  <c r="O380" i="1"/>
  <c r="O386" i="1"/>
  <c r="L39" i="1"/>
  <c r="O39" i="1"/>
  <c r="L37" i="1"/>
  <c r="L38" i="1"/>
  <c r="O37" i="1"/>
  <c r="Q15" i="9" l="1"/>
  <c r="Q13" i="9"/>
  <c r="K13" i="9"/>
  <c r="Q13" i="10"/>
  <c r="R19" i="10"/>
  <c r="Q15" i="10"/>
  <c r="Q13" i="8"/>
  <c r="K13" i="8"/>
  <c r="Q15" i="8"/>
  <c r="R19" i="8"/>
  <c r="K12" i="3"/>
  <c r="Q12" i="3"/>
  <c r="R17" i="8" l="1"/>
  <c r="K15" i="8"/>
  <c r="K14" i="5"/>
  <c r="R16" i="5"/>
  <c r="Q14" i="5"/>
  <c r="R18" i="5"/>
  <c r="Q14" i="3"/>
  <c r="K14" i="3"/>
  <c r="R18" i="3"/>
  <c r="R16" i="3"/>
  <c r="I257" i="1" l="1"/>
  <c r="J257" i="1" s="1"/>
  <c r="G132" i="1"/>
  <c r="G271" i="1"/>
  <c r="G270" i="1"/>
  <c r="G266" i="1"/>
  <c r="G234" i="1"/>
  <c r="I234" i="1"/>
  <c r="J234" i="1" s="1"/>
  <c r="G292" i="1"/>
  <c r="I267" i="1"/>
  <c r="J267" i="1" s="1"/>
  <c r="I281" i="1"/>
  <c r="J281" i="1" s="1"/>
  <c r="I280" i="1"/>
  <c r="J280" i="1" s="1"/>
  <c r="G291" i="1"/>
  <c r="I292" i="1"/>
  <c r="J292" i="1" s="1"/>
  <c r="I291" i="1"/>
  <c r="J291" i="1" s="1"/>
  <c r="G264" i="1"/>
  <c r="Q118" i="1"/>
  <c r="P118" i="1"/>
  <c r="O118" i="1"/>
  <c r="M118" i="1"/>
  <c r="L118" i="1"/>
  <c r="J118" i="1"/>
  <c r="I118" i="1"/>
  <c r="I158" i="1"/>
  <c r="J158" i="1" s="1"/>
  <c r="I165" i="1"/>
  <c r="J165" i="1" s="1"/>
  <c r="I164" i="1"/>
  <c r="J164" i="1" s="1"/>
  <c r="I159" i="1"/>
  <c r="J159" i="1" s="1"/>
  <c r="I162" i="1"/>
  <c r="J162" i="1" s="1"/>
  <c r="I161" i="1"/>
  <c r="J161" i="1" s="1"/>
  <c r="I157" i="1"/>
  <c r="J157" i="1" s="1"/>
  <c r="I166" i="1"/>
  <c r="J166" i="1" s="1"/>
  <c r="I163" i="1"/>
  <c r="J163" i="1" s="1"/>
  <c r="I167" i="1"/>
  <c r="J167" i="1" s="1"/>
  <c r="I160" i="1"/>
  <c r="J160" i="1" s="1"/>
  <c r="I303" i="1"/>
  <c r="J303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12" i="1"/>
  <c r="J312" i="1" s="1"/>
  <c r="I311" i="1"/>
  <c r="J311" i="1" s="1"/>
  <c r="I152" i="1"/>
  <c r="J152" i="1" s="1"/>
  <c r="I144" i="1"/>
  <c r="J144" i="1" s="1"/>
  <c r="I143" i="1"/>
  <c r="J143" i="1" s="1"/>
  <c r="I142" i="1"/>
  <c r="J142" i="1" s="1"/>
  <c r="G102" i="1"/>
  <c r="G285" i="1"/>
  <c r="G361" i="1"/>
  <c r="G360" i="1"/>
  <c r="G185" i="1"/>
  <c r="I185" i="1"/>
  <c r="J185" i="1" s="1"/>
  <c r="G283" i="1"/>
  <c r="G259" i="1"/>
  <c r="G258" i="1"/>
  <c r="I348" i="1"/>
  <c r="J348" i="1" s="1"/>
  <c r="I354" i="1"/>
  <c r="J354" i="1" s="1"/>
  <c r="I353" i="1"/>
  <c r="J353" i="1" s="1"/>
  <c r="I352" i="1"/>
  <c r="J352" i="1" s="1"/>
  <c r="I358" i="1"/>
  <c r="J358" i="1" s="1"/>
  <c r="I357" i="1"/>
  <c r="J357" i="1" s="1"/>
  <c r="I355" i="1"/>
  <c r="J355" i="1" s="1"/>
  <c r="I360" i="1"/>
  <c r="J360" i="1" s="1"/>
  <c r="I359" i="1"/>
  <c r="J359" i="1" s="1"/>
  <c r="I356" i="1"/>
  <c r="J356" i="1" s="1"/>
  <c r="I361" i="1"/>
  <c r="J361" i="1" s="1"/>
  <c r="I317" i="1"/>
  <c r="J317" i="1" s="1"/>
  <c r="I315" i="1"/>
  <c r="J315" i="1" s="1"/>
  <c r="I314" i="1"/>
  <c r="J314" i="1" s="1"/>
  <c r="I320" i="1"/>
  <c r="J320" i="1" s="1"/>
  <c r="I319" i="1"/>
  <c r="J319" i="1" s="1"/>
  <c r="I318" i="1"/>
  <c r="J318" i="1" s="1"/>
  <c r="I323" i="1"/>
  <c r="J323" i="1" s="1"/>
  <c r="I322" i="1"/>
  <c r="J322" i="1" s="1"/>
  <c r="I321" i="1"/>
  <c r="J321" i="1" s="1"/>
  <c r="I326" i="1"/>
  <c r="J326" i="1" s="1"/>
  <c r="I325" i="1"/>
  <c r="J325" i="1" s="1"/>
  <c r="I324" i="1"/>
  <c r="J324" i="1" s="1"/>
  <c r="I329" i="1"/>
  <c r="J329" i="1" s="1"/>
  <c r="I328" i="1"/>
  <c r="J328" i="1" s="1"/>
  <c r="I327" i="1"/>
  <c r="J327" i="1" s="1"/>
  <c r="G256" i="1"/>
  <c r="G255" i="1"/>
  <c r="G254" i="1"/>
  <c r="G253" i="1"/>
  <c r="G252" i="1"/>
  <c r="G251" i="1"/>
  <c r="I254" i="1"/>
  <c r="J254" i="1" s="1"/>
  <c r="I251" i="1"/>
  <c r="J251" i="1" s="1"/>
  <c r="G250" i="1"/>
  <c r="G249" i="1"/>
  <c r="G247" i="1"/>
  <c r="G244" i="1"/>
  <c r="G243" i="1" s="1"/>
  <c r="G241" i="1"/>
  <c r="G238" i="1"/>
  <c r="G239" i="1"/>
  <c r="I241" i="1"/>
  <c r="J241" i="1" s="1"/>
  <c r="I240" i="1"/>
  <c r="J240" i="1" s="1"/>
  <c r="I239" i="1"/>
  <c r="J239" i="1" s="1"/>
  <c r="I238" i="1"/>
  <c r="J238" i="1" s="1"/>
  <c r="Q237" i="1"/>
  <c r="P237" i="1"/>
  <c r="O237" i="1"/>
  <c r="M237" i="1"/>
  <c r="L237" i="1"/>
  <c r="J237" i="1"/>
  <c r="I237" i="1"/>
  <c r="G237" i="1"/>
  <c r="I244" i="1"/>
  <c r="J244" i="1" s="1"/>
  <c r="I236" i="1"/>
  <c r="J236" i="1" s="1"/>
  <c r="G236" i="1"/>
  <c r="I235" i="1"/>
  <c r="J235" i="1" s="1"/>
  <c r="G235" i="1"/>
  <c r="I233" i="1"/>
  <c r="J233" i="1" s="1"/>
  <c r="G233" i="1"/>
  <c r="I232" i="1"/>
  <c r="J232" i="1" s="1"/>
  <c r="G232" i="1"/>
  <c r="I231" i="1"/>
  <c r="J231" i="1" s="1"/>
  <c r="G231" i="1"/>
  <c r="Q230" i="1"/>
  <c r="P230" i="1"/>
  <c r="O230" i="1"/>
  <c r="M230" i="1"/>
  <c r="L230" i="1"/>
  <c r="J230" i="1"/>
  <c r="I230" i="1"/>
  <c r="I246" i="1"/>
  <c r="J246" i="1" s="1"/>
  <c r="I229" i="1"/>
  <c r="J229" i="1" s="1"/>
  <c r="G229" i="1"/>
  <c r="I228" i="1"/>
  <c r="J228" i="1" s="1"/>
  <c r="G228" i="1"/>
  <c r="I227" i="1"/>
  <c r="J227" i="1" s="1"/>
  <c r="G227" i="1"/>
  <c r="I226" i="1"/>
  <c r="J226" i="1" s="1"/>
  <c r="Q225" i="1"/>
  <c r="P225" i="1"/>
  <c r="O225" i="1"/>
  <c r="M225" i="1"/>
  <c r="L225" i="1"/>
  <c r="J225" i="1"/>
  <c r="I225" i="1"/>
  <c r="I243" i="1"/>
  <c r="J243" i="1" s="1"/>
  <c r="I247" i="1"/>
  <c r="J247" i="1" s="1"/>
  <c r="I245" i="1"/>
  <c r="J245" i="1" s="1"/>
  <c r="Q242" i="1"/>
  <c r="P242" i="1"/>
  <c r="O242" i="1"/>
  <c r="M242" i="1"/>
  <c r="L242" i="1"/>
  <c r="J242" i="1"/>
  <c r="I242" i="1"/>
  <c r="G224" i="1"/>
  <c r="G223" i="1"/>
  <c r="G222" i="1"/>
  <c r="I223" i="1"/>
  <c r="J223" i="1" s="1"/>
  <c r="I220" i="1"/>
  <c r="J220" i="1" s="1"/>
  <c r="G220" i="1"/>
  <c r="I219" i="1"/>
  <c r="J219" i="1" s="1"/>
  <c r="G219" i="1"/>
  <c r="Q218" i="1"/>
  <c r="P218" i="1"/>
  <c r="O218" i="1"/>
  <c r="M218" i="1"/>
  <c r="L218" i="1"/>
  <c r="J218" i="1"/>
  <c r="I218" i="1"/>
  <c r="G217" i="1"/>
  <c r="G216" i="1"/>
  <c r="G215" i="1"/>
  <c r="G214" i="1"/>
  <c r="G213" i="1"/>
  <c r="G212" i="1"/>
  <c r="I211" i="1"/>
  <c r="J211" i="1" s="1"/>
  <c r="G211" i="1"/>
  <c r="I210" i="1"/>
  <c r="J210" i="1" s="1"/>
  <c r="G210" i="1"/>
  <c r="I209" i="1"/>
  <c r="J209" i="1" s="1"/>
  <c r="G209" i="1"/>
  <c r="I208" i="1"/>
  <c r="J208" i="1" s="1"/>
  <c r="G208" i="1"/>
  <c r="I207" i="1"/>
  <c r="J207" i="1" s="1"/>
  <c r="G207" i="1"/>
  <c r="Q206" i="1"/>
  <c r="P206" i="1"/>
  <c r="O206" i="1"/>
  <c r="M206" i="1"/>
  <c r="L206" i="1"/>
  <c r="J206" i="1"/>
  <c r="I206" i="1"/>
  <c r="G206" i="1"/>
  <c r="I217" i="1"/>
  <c r="J217" i="1" s="1"/>
  <c r="I216" i="1"/>
  <c r="J216" i="1" s="1"/>
  <c r="I215" i="1"/>
  <c r="J215" i="1" s="1"/>
  <c r="I214" i="1"/>
  <c r="J214" i="1" s="1"/>
  <c r="I213" i="1"/>
  <c r="J213" i="1" s="1"/>
  <c r="Q212" i="1"/>
  <c r="P212" i="1"/>
  <c r="O212" i="1"/>
  <c r="M212" i="1"/>
  <c r="L212" i="1"/>
  <c r="J212" i="1"/>
  <c r="I212" i="1"/>
  <c r="G205" i="1"/>
  <c r="G204" i="1"/>
  <c r="G203" i="1"/>
  <c r="G202" i="1"/>
  <c r="G201" i="1"/>
  <c r="I205" i="1"/>
  <c r="J205" i="1" s="1"/>
  <c r="I204" i="1"/>
  <c r="J204" i="1" s="1"/>
  <c r="I203" i="1"/>
  <c r="J203" i="1" s="1"/>
  <c r="I202" i="1"/>
  <c r="J202" i="1" s="1"/>
  <c r="I201" i="1"/>
  <c r="J201" i="1" s="1"/>
  <c r="Q200" i="1"/>
  <c r="P200" i="1"/>
  <c r="O200" i="1"/>
  <c r="M200" i="1"/>
  <c r="L200" i="1"/>
  <c r="J200" i="1"/>
  <c r="I200" i="1"/>
  <c r="G199" i="1"/>
  <c r="G198" i="1"/>
  <c r="G197" i="1"/>
  <c r="G196" i="1"/>
  <c r="G195" i="1"/>
  <c r="G194" i="1"/>
  <c r="I199" i="1"/>
  <c r="J199" i="1" s="1"/>
  <c r="I198" i="1"/>
  <c r="J198" i="1" s="1"/>
  <c r="I197" i="1"/>
  <c r="J197" i="1" s="1"/>
  <c r="I196" i="1"/>
  <c r="J196" i="1" s="1"/>
  <c r="I195" i="1"/>
  <c r="J195" i="1" s="1"/>
  <c r="O194" i="1"/>
  <c r="P194" i="1" s="1"/>
  <c r="M194" i="1"/>
  <c r="L194" i="1"/>
  <c r="Q194" i="1" s="1"/>
  <c r="J194" i="1"/>
  <c r="I194" i="1"/>
  <c r="G193" i="1"/>
  <c r="G192" i="1"/>
  <c r="G191" i="1"/>
  <c r="G190" i="1"/>
  <c r="I188" i="1"/>
  <c r="J188" i="1" s="1"/>
  <c r="G188" i="1"/>
  <c r="I187" i="1"/>
  <c r="J187" i="1" s="1"/>
  <c r="G187" i="1"/>
  <c r="I186" i="1"/>
  <c r="J186" i="1" s="1"/>
  <c r="G186" i="1"/>
  <c r="I184" i="1"/>
  <c r="J184" i="1" s="1"/>
  <c r="G184" i="1"/>
  <c r="I183" i="1"/>
  <c r="J183" i="1" s="1"/>
  <c r="G183" i="1"/>
  <c r="I182" i="1"/>
  <c r="J182" i="1" s="1"/>
  <c r="G182" i="1"/>
  <c r="Q181" i="1"/>
  <c r="P181" i="1"/>
  <c r="O181" i="1"/>
  <c r="M181" i="1"/>
  <c r="L181" i="1"/>
  <c r="J181" i="1"/>
  <c r="I181" i="1"/>
  <c r="G181" i="1"/>
  <c r="G180" i="1"/>
  <c r="G179" i="1"/>
  <c r="G178" i="1"/>
  <c r="G177" i="1"/>
  <c r="G176" i="1"/>
  <c r="G175" i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Q174" i="1"/>
  <c r="P174" i="1"/>
  <c r="O174" i="1"/>
  <c r="N174" i="1"/>
  <c r="M174" i="1"/>
  <c r="L174" i="1"/>
  <c r="K174" i="1"/>
  <c r="J174" i="1"/>
  <c r="I174" i="1"/>
  <c r="G189" i="1"/>
  <c r="I192" i="1"/>
  <c r="J192" i="1" s="1"/>
  <c r="Q221" i="1"/>
  <c r="P221" i="1"/>
  <c r="O221" i="1"/>
  <c r="M221" i="1"/>
  <c r="L221" i="1"/>
  <c r="J221" i="1"/>
  <c r="I221" i="1"/>
  <c r="I193" i="1"/>
  <c r="J193" i="1" s="1"/>
  <c r="I191" i="1"/>
  <c r="J191" i="1" s="1"/>
  <c r="I190" i="1"/>
  <c r="J190" i="1" s="1"/>
  <c r="Q189" i="1"/>
  <c r="P189" i="1"/>
  <c r="O189" i="1"/>
  <c r="M189" i="1"/>
  <c r="L189" i="1"/>
  <c r="J189" i="1"/>
  <c r="I189" i="1"/>
  <c r="I253" i="1"/>
  <c r="J253" i="1" s="1"/>
  <c r="I252" i="1"/>
  <c r="J252" i="1" s="1"/>
  <c r="I250" i="1"/>
  <c r="J250" i="1" s="1"/>
  <c r="I249" i="1"/>
  <c r="J249" i="1" s="1"/>
  <c r="M248" i="1"/>
  <c r="I248" i="1"/>
  <c r="J248" i="1" s="1"/>
  <c r="O248" i="1" s="1"/>
  <c r="P248" i="1" s="1"/>
  <c r="I224" i="1"/>
  <c r="J224" i="1" s="1"/>
  <c r="I222" i="1"/>
  <c r="J222" i="1" s="1"/>
  <c r="I259" i="1"/>
  <c r="J259" i="1" s="1"/>
  <c r="I258" i="1"/>
  <c r="J258" i="1" s="1"/>
  <c r="I256" i="1"/>
  <c r="J256" i="1" s="1"/>
  <c r="I255" i="1"/>
  <c r="J255" i="1" s="1"/>
  <c r="G59" i="1"/>
  <c r="I64" i="1"/>
  <c r="J64" i="1" s="1"/>
  <c r="G51" i="1"/>
  <c r="G901" i="1"/>
  <c r="G900" i="1"/>
  <c r="I901" i="1"/>
  <c r="J901" i="1" s="1"/>
  <c r="I900" i="1"/>
  <c r="J900" i="1" s="1"/>
  <c r="G899" i="1"/>
  <c r="G24" i="1"/>
  <c r="G45" i="1"/>
  <c r="G44" i="1"/>
  <c r="I47" i="1"/>
  <c r="J47" i="1" s="1"/>
  <c r="I46" i="1"/>
  <c r="J46" i="1" s="1"/>
  <c r="I45" i="1"/>
  <c r="J45" i="1" s="1"/>
  <c r="I44" i="1"/>
  <c r="J44" i="1" s="1"/>
  <c r="I51" i="1"/>
  <c r="J51" i="1" s="1"/>
  <c r="I50" i="1"/>
  <c r="J50" i="1" s="1"/>
  <c r="I49" i="1"/>
  <c r="J49" i="1" s="1"/>
  <c r="I48" i="1"/>
  <c r="J48" i="1" s="1"/>
  <c r="I52" i="1"/>
  <c r="J52" i="1" s="1"/>
  <c r="G28" i="1"/>
  <c r="N16" i="1"/>
  <c r="K16" i="1"/>
  <c r="I16" i="1"/>
  <c r="J16" i="1" s="1"/>
  <c r="L64" i="1" l="1"/>
  <c r="O64" i="1"/>
  <c r="L234" i="1"/>
  <c r="O52" i="1"/>
  <c r="L257" i="1"/>
  <c r="O257" i="1"/>
  <c r="L52" i="1"/>
  <c r="O234" i="1"/>
  <c r="L159" i="1"/>
  <c r="L292" i="1"/>
  <c r="O281" i="1"/>
  <c r="O280" i="1"/>
  <c r="O292" i="1"/>
  <c r="L267" i="1"/>
  <c r="O267" i="1"/>
  <c r="L281" i="1"/>
  <c r="L280" i="1"/>
  <c r="O291" i="1"/>
  <c r="L291" i="1"/>
  <c r="L167" i="1"/>
  <c r="O167" i="1"/>
  <c r="O157" i="1"/>
  <c r="L161" i="1"/>
  <c r="L160" i="1"/>
  <c r="O164" i="1"/>
  <c r="L162" i="1"/>
  <c r="L157" i="1"/>
  <c r="O162" i="1"/>
  <c r="L163" i="1"/>
  <c r="O160" i="1"/>
  <c r="L165" i="1"/>
  <c r="O163" i="1"/>
  <c r="O165" i="1"/>
  <c r="L166" i="1"/>
  <c r="O159" i="1"/>
  <c r="O161" i="1"/>
  <c r="L158" i="1"/>
  <c r="O166" i="1"/>
  <c r="L164" i="1"/>
  <c r="O158" i="1"/>
  <c r="L312" i="1"/>
  <c r="O307" i="1"/>
  <c r="L309" i="1"/>
  <c r="O304" i="1"/>
  <c r="L307" i="1"/>
  <c r="L303" i="1"/>
  <c r="O303" i="1"/>
  <c r="L308" i="1"/>
  <c r="O308" i="1"/>
  <c r="L311" i="1"/>
  <c r="L305" i="1"/>
  <c r="O306" i="1"/>
  <c r="O311" i="1"/>
  <c r="L306" i="1"/>
  <c r="O305" i="1"/>
  <c r="O309" i="1"/>
  <c r="L310" i="1"/>
  <c r="O312" i="1"/>
  <c r="L304" i="1"/>
  <c r="O310" i="1"/>
  <c r="O152" i="1"/>
  <c r="L152" i="1"/>
  <c r="O143" i="1"/>
  <c r="O142" i="1"/>
  <c r="L144" i="1"/>
  <c r="O144" i="1"/>
  <c r="L143" i="1"/>
  <c r="L142" i="1"/>
  <c r="L359" i="1"/>
  <c r="O359" i="1"/>
  <c r="O356" i="1"/>
  <c r="O361" i="1"/>
  <c r="L361" i="1"/>
  <c r="L360" i="1"/>
  <c r="O360" i="1"/>
  <c r="O321" i="1"/>
  <c r="O325" i="1"/>
  <c r="L356" i="1"/>
  <c r="L355" i="1"/>
  <c r="L358" i="1"/>
  <c r="O358" i="1"/>
  <c r="L259" i="1"/>
  <c r="L348" i="1"/>
  <c r="L185" i="1"/>
  <c r="O185" i="1"/>
  <c r="O258" i="1"/>
  <c r="L324" i="1"/>
  <c r="O355" i="1"/>
  <c r="L258" i="1"/>
  <c r="O318" i="1"/>
  <c r="O353" i="1"/>
  <c r="L319" i="1"/>
  <c r="O320" i="1"/>
  <c r="O352" i="1"/>
  <c r="O348" i="1"/>
  <c r="L329" i="1"/>
  <c r="O329" i="1"/>
  <c r="O259" i="1"/>
  <c r="L357" i="1"/>
  <c r="O357" i="1"/>
  <c r="L325" i="1"/>
  <c r="L328" i="1"/>
  <c r="L320" i="1"/>
  <c r="L322" i="1"/>
  <c r="O319" i="1"/>
  <c r="O326" i="1"/>
  <c r="L354" i="1"/>
  <c r="O354" i="1"/>
  <c r="O328" i="1"/>
  <c r="L327" i="1"/>
  <c r="O327" i="1"/>
  <c r="L326" i="1"/>
  <c r="L323" i="1"/>
  <c r="O323" i="1"/>
  <c r="O324" i="1"/>
  <c r="O322" i="1"/>
  <c r="L321" i="1"/>
  <c r="L318" i="1"/>
  <c r="L317" i="1"/>
  <c r="O317" i="1"/>
  <c r="L353" i="1"/>
  <c r="L352" i="1"/>
  <c r="L314" i="1"/>
  <c r="O315" i="1"/>
  <c r="O314" i="1"/>
  <c r="L315" i="1"/>
  <c r="O207" i="1"/>
  <c r="L222" i="1"/>
  <c r="O244" i="1"/>
  <c r="L187" i="1"/>
  <c r="L251" i="1"/>
  <c r="L256" i="1"/>
  <c r="L226" i="1"/>
  <c r="L191" i="1"/>
  <c r="L235" i="1"/>
  <c r="O215" i="1"/>
  <c r="L249" i="1"/>
  <c r="O203" i="1"/>
  <c r="L216" i="1"/>
  <c r="L228" i="1"/>
  <c r="O256" i="1"/>
  <c r="O250" i="1"/>
  <c r="O186" i="1"/>
  <c r="L195" i="1"/>
  <c r="O201" i="1"/>
  <c r="O251" i="1"/>
  <c r="L255" i="1"/>
  <c r="L253" i="1"/>
  <c r="O253" i="1"/>
  <c r="L254" i="1"/>
  <c r="O254" i="1"/>
  <c r="L180" i="1"/>
  <c r="L190" i="1"/>
  <c r="O190" i="1"/>
  <c r="L224" i="1"/>
  <c r="L203" i="1"/>
  <c r="O177" i="1"/>
  <c r="L182" i="1"/>
  <c r="L219" i="1"/>
  <c r="L178" i="1"/>
  <c r="O219" i="1"/>
  <c r="O193" i="1"/>
  <c r="O176" i="1"/>
  <c r="O196" i="1"/>
  <c r="L198" i="1"/>
  <c r="L243" i="1"/>
  <c r="L233" i="1"/>
  <c r="L241" i="1"/>
  <c r="L176" i="1"/>
  <c r="L229" i="1"/>
  <c r="O198" i="1"/>
  <c r="O233" i="1"/>
  <c r="L245" i="1"/>
  <c r="O229" i="1"/>
  <c r="L188" i="1"/>
  <c r="L217" i="1"/>
  <c r="L208" i="1"/>
  <c r="O239" i="1"/>
  <c r="L186" i="1"/>
  <c r="O245" i="1"/>
  <c r="L232" i="1"/>
  <c r="O222" i="1"/>
  <c r="L179" i="1"/>
  <c r="L204" i="1"/>
  <c r="L215" i="1"/>
  <c r="O208" i="1"/>
  <c r="O240" i="1"/>
  <c r="L177" i="1"/>
  <c r="O226" i="1"/>
  <c r="O232" i="1"/>
  <c r="O224" i="1"/>
  <c r="O179" i="1"/>
  <c r="O197" i="1"/>
  <c r="O204" i="1"/>
  <c r="O228" i="1"/>
  <c r="O246" i="1"/>
  <c r="O235" i="1"/>
  <c r="O238" i="1"/>
  <c r="L252" i="1"/>
  <c r="O252" i="1"/>
  <c r="O249" i="1"/>
  <c r="L250" i="1"/>
  <c r="O255" i="1"/>
  <c r="L236" i="1"/>
  <c r="O236" i="1"/>
  <c r="L231" i="1"/>
  <c r="O231" i="1"/>
  <c r="L227" i="1"/>
  <c r="O227" i="1"/>
  <c r="L223" i="1"/>
  <c r="O223" i="1"/>
  <c r="L220" i="1"/>
  <c r="O220" i="1"/>
  <c r="O217" i="1"/>
  <c r="O216" i="1"/>
  <c r="L214" i="1"/>
  <c r="O214" i="1"/>
  <c r="L213" i="1"/>
  <c r="O213" i="1"/>
  <c r="L211" i="1"/>
  <c r="O211" i="1"/>
  <c r="L210" i="1"/>
  <c r="O210" i="1"/>
  <c r="L209" i="1"/>
  <c r="O209" i="1"/>
  <c r="L207" i="1"/>
  <c r="L205" i="1"/>
  <c r="O205" i="1"/>
  <c r="L202" i="1"/>
  <c r="O202" i="1"/>
  <c r="L201" i="1"/>
  <c r="L199" i="1"/>
  <c r="O199" i="1"/>
  <c r="L197" i="1"/>
  <c r="L196" i="1"/>
  <c r="O195" i="1"/>
  <c r="L193" i="1"/>
  <c r="O192" i="1"/>
  <c r="L192" i="1"/>
  <c r="O191" i="1"/>
  <c r="O188" i="1"/>
  <c r="O187" i="1"/>
  <c r="L184" i="1"/>
  <c r="O184" i="1"/>
  <c r="L183" i="1"/>
  <c r="O183" i="1"/>
  <c r="O182" i="1"/>
  <c r="O180" i="1"/>
  <c r="O178" i="1"/>
  <c r="L175" i="1"/>
  <c r="O175" i="1"/>
  <c r="L248" i="1"/>
  <c r="Q248" i="1" s="1"/>
  <c r="L247" i="1"/>
  <c r="O247" i="1"/>
  <c r="L246" i="1"/>
  <c r="O243" i="1"/>
  <c r="L244" i="1"/>
  <c r="O241" i="1"/>
  <c r="L240" i="1"/>
  <c r="L239" i="1"/>
  <c r="L238" i="1"/>
  <c r="O900" i="1"/>
  <c r="O51" i="1"/>
  <c r="L51" i="1"/>
  <c r="O47" i="1"/>
  <c r="O45" i="1"/>
  <c r="L900" i="1"/>
  <c r="L901" i="1"/>
  <c r="O901" i="1"/>
  <c r="L47" i="1"/>
  <c r="O50" i="1"/>
  <c r="L50" i="1"/>
  <c r="L49" i="1"/>
  <c r="O49" i="1"/>
  <c r="L48" i="1"/>
  <c r="O48" i="1"/>
  <c r="O46" i="1"/>
  <c r="L46" i="1"/>
  <c r="L45" i="1"/>
  <c r="O44" i="1"/>
  <c r="L44" i="1"/>
  <c r="L16" i="1"/>
  <c r="O16" i="1"/>
  <c r="A9" i="1" l="1"/>
  <c r="N14" i="1" l="1"/>
  <c r="K14" i="1"/>
  <c r="I14" i="1"/>
  <c r="J14" i="1" s="1"/>
  <c r="N17" i="1"/>
  <c r="K17" i="1"/>
  <c r="I17" i="1"/>
  <c r="J17" i="1" s="1"/>
  <c r="N13" i="1"/>
  <c r="K13" i="1"/>
  <c r="I13" i="1"/>
  <c r="J13" i="1" s="1"/>
  <c r="N12" i="1"/>
  <c r="K12" i="1"/>
  <c r="I12" i="1"/>
  <c r="J12" i="1" s="1"/>
  <c r="N18" i="1"/>
  <c r="K18" i="1"/>
  <c r="I18" i="1"/>
  <c r="J18" i="1" s="1"/>
  <c r="N15" i="1"/>
  <c r="K15" i="1"/>
  <c r="I15" i="1"/>
  <c r="J15" i="1" s="1"/>
  <c r="I275" i="1"/>
  <c r="J275" i="1" s="1"/>
  <c r="Q274" i="1"/>
  <c r="P274" i="1"/>
  <c r="O274" i="1"/>
  <c r="M274" i="1"/>
  <c r="L274" i="1"/>
  <c r="J274" i="1"/>
  <c r="I274" i="1"/>
  <c r="I111" i="1"/>
  <c r="J111" i="1" s="1"/>
  <c r="L275" i="1" l="1"/>
  <c r="O275" i="1"/>
  <c r="L111" i="1"/>
  <c r="O111" i="1"/>
  <c r="O15" i="1"/>
  <c r="L18" i="1"/>
  <c r="O18" i="1"/>
  <c r="L14" i="1"/>
  <c r="O14" i="1"/>
  <c r="L15" i="1"/>
  <c r="O12" i="1"/>
  <c r="L12" i="1"/>
  <c r="L13" i="1"/>
  <c r="O13" i="1"/>
  <c r="L17" i="1"/>
  <c r="O17" i="1"/>
  <c r="A907" i="1"/>
  <c r="F5" i="1" l="1"/>
  <c r="I261" i="1" l="1"/>
  <c r="J261" i="1" s="1"/>
  <c r="I260" i="1"/>
  <c r="J260" i="1" s="1"/>
  <c r="O260" i="1" s="1"/>
  <c r="I262" i="1"/>
  <c r="J262" i="1" s="1"/>
  <c r="Q371" i="1"/>
  <c r="P371" i="1"/>
  <c r="O371" i="1"/>
  <c r="N371" i="1"/>
  <c r="M371" i="1"/>
  <c r="L371" i="1"/>
  <c r="K371" i="1"/>
  <c r="J371" i="1"/>
  <c r="I371" i="1"/>
  <c r="Q390" i="1"/>
  <c r="P390" i="1"/>
  <c r="O390" i="1"/>
  <c r="N390" i="1"/>
  <c r="M390" i="1"/>
  <c r="L390" i="1"/>
  <c r="K390" i="1"/>
  <c r="J390" i="1"/>
  <c r="I390" i="1"/>
  <c r="L262" i="1" l="1"/>
  <c r="O262" i="1"/>
  <c r="O261" i="1"/>
  <c r="L261" i="1"/>
  <c r="L260" i="1"/>
  <c r="A1" i="2" l="1"/>
  <c r="K10" i="1"/>
  <c r="Q895" i="1" l="1"/>
  <c r="P895" i="1"/>
  <c r="O895" i="1"/>
  <c r="N895" i="1"/>
  <c r="M895" i="1"/>
  <c r="L895" i="1"/>
  <c r="K895" i="1"/>
  <c r="J895" i="1"/>
  <c r="I895" i="1"/>
  <c r="Q726" i="1"/>
  <c r="P726" i="1"/>
  <c r="O726" i="1"/>
  <c r="N726" i="1"/>
  <c r="M726" i="1"/>
  <c r="L726" i="1"/>
  <c r="K726" i="1"/>
  <c r="J726" i="1"/>
  <c r="I726" i="1"/>
  <c r="Q723" i="1"/>
  <c r="P723" i="1"/>
  <c r="O723" i="1"/>
  <c r="N723" i="1"/>
  <c r="M723" i="1"/>
  <c r="L723" i="1"/>
  <c r="K723" i="1"/>
  <c r="J723" i="1"/>
  <c r="I723" i="1"/>
  <c r="Q598" i="1"/>
  <c r="P598" i="1"/>
  <c r="O598" i="1"/>
  <c r="N598" i="1"/>
  <c r="M598" i="1"/>
  <c r="L598" i="1"/>
  <c r="K598" i="1"/>
  <c r="J598" i="1"/>
  <c r="I598" i="1"/>
  <c r="Q387" i="1"/>
  <c r="P387" i="1"/>
  <c r="O387" i="1"/>
  <c r="N387" i="1"/>
  <c r="M387" i="1"/>
  <c r="L387" i="1"/>
  <c r="K387" i="1"/>
  <c r="J387" i="1"/>
  <c r="I387" i="1"/>
  <c r="Q20" i="1"/>
  <c r="P20" i="1"/>
  <c r="O20" i="1"/>
  <c r="N20" i="1"/>
  <c r="M20" i="1"/>
  <c r="L20" i="1"/>
  <c r="K20" i="1"/>
  <c r="J20" i="1"/>
  <c r="I20" i="1"/>
  <c r="I19" i="1"/>
  <c r="J19" i="1" s="1"/>
  <c r="N11" i="1"/>
  <c r="K11" i="1"/>
  <c r="I11" i="1"/>
  <c r="J11" i="1" s="1"/>
  <c r="N10" i="1"/>
  <c r="I10" i="1"/>
  <c r="J10" i="1" s="1"/>
  <c r="N9" i="1"/>
  <c r="K9" i="1"/>
  <c r="I9" i="1"/>
  <c r="J9" i="1" s="1"/>
  <c r="L19" i="1" l="1"/>
  <c r="O19" i="1"/>
  <c r="L11" i="1"/>
  <c r="O10" i="1"/>
  <c r="O9" i="1"/>
  <c r="Q896" i="1"/>
  <c r="K599" i="1"/>
  <c r="D18" i="2" s="1"/>
  <c r="F18" i="2" s="1"/>
  <c r="K896" i="1"/>
  <c r="D20" i="2" s="1"/>
  <c r="F20" i="2" s="1"/>
  <c r="Q599" i="1"/>
  <c r="K388" i="1"/>
  <c r="D17" i="2" s="1"/>
  <c r="F17" i="2" s="1"/>
  <c r="K724" i="1"/>
  <c r="D19" i="2" s="1"/>
  <c r="F19" i="2" s="1"/>
  <c r="Q388" i="1"/>
  <c r="Q724" i="1"/>
  <c r="O11" i="1"/>
  <c r="L9" i="1"/>
  <c r="Q9" i="1" s="1"/>
  <c r="L10" i="1"/>
  <c r="Q293" i="1"/>
  <c r="P293" i="1"/>
  <c r="O293" i="1"/>
  <c r="M293" i="1"/>
  <c r="L293" i="1"/>
  <c r="J293" i="1"/>
  <c r="I293" i="1"/>
  <c r="I898" i="1"/>
  <c r="J898" i="1"/>
  <c r="K898" i="1"/>
  <c r="L898" i="1"/>
  <c r="M898" i="1"/>
  <c r="N898" i="1"/>
  <c r="O898" i="1"/>
  <c r="P898" i="1"/>
  <c r="Q898" i="1"/>
  <c r="I899" i="1"/>
  <c r="J899" i="1" s="1"/>
  <c r="I903" i="1"/>
  <c r="J903" i="1"/>
  <c r="K903" i="1"/>
  <c r="L903" i="1"/>
  <c r="M903" i="1"/>
  <c r="N903" i="1"/>
  <c r="O903" i="1"/>
  <c r="P903" i="1"/>
  <c r="Q903" i="1"/>
  <c r="Q907" i="1"/>
  <c r="P907" i="1"/>
  <c r="O907" i="1"/>
  <c r="N907" i="1"/>
  <c r="M907" i="1"/>
  <c r="L907" i="1"/>
  <c r="K907" i="1"/>
  <c r="J907" i="1"/>
  <c r="I907" i="1"/>
  <c r="Q905" i="1"/>
  <c r="P905" i="1"/>
  <c r="O905" i="1"/>
  <c r="N905" i="1"/>
  <c r="M905" i="1"/>
  <c r="L905" i="1"/>
  <c r="K905" i="1"/>
  <c r="J905" i="1"/>
  <c r="I905" i="1"/>
  <c r="Q368" i="1"/>
  <c r="P368" i="1"/>
  <c r="O368" i="1"/>
  <c r="N368" i="1"/>
  <c r="M368" i="1"/>
  <c r="L368" i="1"/>
  <c r="K368" i="1"/>
  <c r="J368" i="1"/>
  <c r="I368" i="1"/>
  <c r="I367" i="1"/>
  <c r="J367" i="1" s="1"/>
  <c r="Q366" i="1"/>
  <c r="P366" i="1"/>
  <c r="O366" i="1"/>
  <c r="M366" i="1"/>
  <c r="L366" i="1"/>
  <c r="J366" i="1"/>
  <c r="I366" i="1"/>
  <c r="I365" i="1"/>
  <c r="J365" i="1" s="1"/>
  <c r="I364" i="1"/>
  <c r="J364" i="1" s="1"/>
  <c r="I363" i="1"/>
  <c r="J363" i="1" s="1"/>
  <c r="Q362" i="1"/>
  <c r="P362" i="1"/>
  <c r="O362" i="1"/>
  <c r="M362" i="1"/>
  <c r="L362" i="1"/>
  <c r="J362" i="1"/>
  <c r="I362" i="1"/>
  <c r="I351" i="1"/>
  <c r="J351" i="1" s="1"/>
  <c r="I350" i="1"/>
  <c r="J350" i="1" s="1"/>
  <c r="Q349" i="1"/>
  <c r="P349" i="1"/>
  <c r="O349" i="1"/>
  <c r="M349" i="1"/>
  <c r="L349" i="1"/>
  <c r="J349" i="1"/>
  <c r="I349" i="1"/>
  <c r="Q345" i="1"/>
  <c r="P345" i="1"/>
  <c r="O345" i="1"/>
  <c r="N345" i="1"/>
  <c r="M345" i="1"/>
  <c r="L345" i="1"/>
  <c r="K345" i="1"/>
  <c r="J345" i="1"/>
  <c r="I345" i="1"/>
  <c r="I344" i="1"/>
  <c r="J344" i="1" s="1"/>
  <c r="Q343" i="1"/>
  <c r="P343" i="1"/>
  <c r="O343" i="1"/>
  <c r="M343" i="1"/>
  <c r="L343" i="1"/>
  <c r="J343" i="1"/>
  <c r="I343" i="1"/>
  <c r="I342" i="1"/>
  <c r="J342" i="1" s="1"/>
  <c r="I341" i="1"/>
  <c r="J341" i="1" s="1"/>
  <c r="Q340" i="1"/>
  <c r="P340" i="1"/>
  <c r="O340" i="1"/>
  <c r="M340" i="1"/>
  <c r="L340" i="1"/>
  <c r="J340" i="1"/>
  <c r="I340" i="1"/>
  <c r="I339" i="1"/>
  <c r="J339" i="1" s="1"/>
  <c r="Q336" i="1"/>
  <c r="P336" i="1"/>
  <c r="O336" i="1"/>
  <c r="N336" i="1"/>
  <c r="M336" i="1"/>
  <c r="L336" i="1"/>
  <c r="K336" i="1"/>
  <c r="J336" i="1"/>
  <c r="I336" i="1"/>
  <c r="I335" i="1"/>
  <c r="J335" i="1" s="1"/>
  <c r="I334" i="1"/>
  <c r="J334" i="1" s="1"/>
  <c r="Q333" i="1"/>
  <c r="P333" i="1"/>
  <c r="O333" i="1"/>
  <c r="M333" i="1"/>
  <c r="L333" i="1"/>
  <c r="J333" i="1"/>
  <c r="I333" i="1"/>
  <c r="I332" i="1"/>
  <c r="J332" i="1" s="1"/>
  <c r="Q331" i="1"/>
  <c r="P331" i="1"/>
  <c r="O331" i="1"/>
  <c r="M331" i="1"/>
  <c r="L331" i="1"/>
  <c r="J331" i="1"/>
  <c r="I331" i="1"/>
  <c r="M316" i="1"/>
  <c r="J316" i="1"/>
  <c r="L316" i="1" s="1"/>
  <c r="I316" i="1"/>
  <c r="I330" i="1"/>
  <c r="J330" i="1" s="1"/>
  <c r="Q313" i="1"/>
  <c r="P313" i="1"/>
  <c r="O313" i="1"/>
  <c r="M313" i="1"/>
  <c r="L313" i="1"/>
  <c r="J313" i="1"/>
  <c r="I313" i="1"/>
  <c r="I302" i="1"/>
  <c r="J302" i="1" s="1"/>
  <c r="I301" i="1"/>
  <c r="J301" i="1" s="1"/>
  <c r="Q300" i="1"/>
  <c r="P300" i="1"/>
  <c r="O300" i="1"/>
  <c r="M300" i="1"/>
  <c r="L300" i="1"/>
  <c r="J300" i="1"/>
  <c r="I300" i="1"/>
  <c r="I296" i="1"/>
  <c r="J296" i="1" s="1"/>
  <c r="I299" i="1"/>
  <c r="J299" i="1" s="1"/>
  <c r="I298" i="1"/>
  <c r="J298" i="1" s="1"/>
  <c r="Q297" i="1"/>
  <c r="P297" i="1"/>
  <c r="O297" i="1"/>
  <c r="M297" i="1"/>
  <c r="L297" i="1"/>
  <c r="J297" i="1"/>
  <c r="I297" i="1"/>
  <c r="N293" i="1"/>
  <c r="K293" i="1"/>
  <c r="I290" i="1"/>
  <c r="J290" i="1" s="1"/>
  <c r="I289" i="1"/>
  <c r="J289" i="1" s="1"/>
  <c r="I288" i="1"/>
  <c r="J288" i="1" s="1"/>
  <c r="I287" i="1"/>
  <c r="J287" i="1" s="1"/>
  <c r="Q286" i="1"/>
  <c r="P286" i="1"/>
  <c r="O286" i="1"/>
  <c r="M286" i="1"/>
  <c r="L286" i="1"/>
  <c r="J286" i="1"/>
  <c r="I286" i="1"/>
  <c r="I285" i="1"/>
  <c r="J285" i="1" s="1"/>
  <c r="Q284" i="1"/>
  <c r="P284" i="1"/>
  <c r="O284" i="1"/>
  <c r="M284" i="1"/>
  <c r="L284" i="1"/>
  <c r="J284" i="1"/>
  <c r="I284" i="1"/>
  <c r="I283" i="1"/>
  <c r="J283" i="1" s="1"/>
  <c r="Q282" i="1"/>
  <c r="P282" i="1"/>
  <c r="O282" i="1"/>
  <c r="M282" i="1"/>
  <c r="L282" i="1"/>
  <c r="J282" i="1"/>
  <c r="I282" i="1"/>
  <c r="I279" i="1"/>
  <c r="J279" i="1" s="1"/>
  <c r="I278" i="1"/>
  <c r="J278" i="1" s="1"/>
  <c r="I277" i="1"/>
  <c r="J277" i="1" s="1"/>
  <c r="Q276" i="1"/>
  <c r="P276" i="1"/>
  <c r="O276" i="1"/>
  <c r="M276" i="1"/>
  <c r="L276" i="1"/>
  <c r="J276" i="1"/>
  <c r="I276" i="1"/>
  <c r="I273" i="1"/>
  <c r="J273" i="1" s="1"/>
  <c r="Q272" i="1"/>
  <c r="P272" i="1"/>
  <c r="O272" i="1"/>
  <c r="M272" i="1"/>
  <c r="L272" i="1"/>
  <c r="J272" i="1"/>
  <c r="I272" i="1"/>
  <c r="I271" i="1"/>
  <c r="J271" i="1" s="1"/>
  <c r="I270" i="1"/>
  <c r="J270" i="1" s="1"/>
  <c r="I269" i="1"/>
  <c r="J269" i="1" s="1"/>
  <c r="Q268" i="1"/>
  <c r="P268" i="1"/>
  <c r="O268" i="1"/>
  <c r="M268" i="1"/>
  <c r="L268" i="1"/>
  <c r="J268" i="1"/>
  <c r="I268" i="1"/>
  <c r="I266" i="1"/>
  <c r="J266" i="1" s="1"/>
  <c r="Q265" i="1"/>
  <c r="P265" i="1"/>
  <c r="O265" i="1"/>
  <c r="M265" i="1"/>
  <c r="L265" i="1"/>
  <c r="J265" i="1"/>
  <c r="I265" i="1"/>
  <c r="I264" i="1"/>
  <c r="J264" i="1" s="1"/>
  <c r="Q263" i="1"/>
  <c r="P263" i="1"/>
  <c r="O263" i="1"/>
  <c r="M263" i="1"/>
  <c r="L263" i="1"/>
  <c r="J263" i="1"/>
  <c r="I263" i="1"/>
  <c r="Q173" i="1"/>
  <c r="P173" i="1"/>
  <c r="O173" i="1"/>
  <c r="N173" i="1"/>
  <c r="M173" i="1"/>
  <c r="L173" i="1"/>
  <c r="K173" i="1"/>
  <c r="J173" i="1"/>
  <c r="I173" i="1"/>
  <c r="Q170" i="1"/>
  <c r="P170" i="1"/>
  <c r="O170" i="1"/>
  <c r="N170" i="1"/>
  <c r="M170" i="1"/>
  <c r="L170" i="1"/>
  <c r="K170" i="1"/>
  <c r="J170" i="1"/>
  <c r="I170" i="1"/>
  <c r="I169" i="1"/>
  <c r="J169" i="1" s="1"/>
  <c r="Q168" i="1"/>
  <c r="P168" i="1"/>
  <c r="O168" i="1"/>
  <c r="M168" i="1"/>
  <c r="L168" i="1"/>
  <c r="J168" i="1"/>
  <c r="I168" i="1"/>
  <c r="I156" i="1"/>
  <c r="J156" i="1" s="1"/>
  <c r="Q155" i="1"/>
  <c r="P155" i="1"/>
  <c r="O155" i="1"/>
  <c r="M155" i="1"/>
  <c r="L155" i="1"/>
  <c r="J155" i="1"/>
  <c r="I155" i="1"/>
  <c r="I154" i="1"/>
  <c r="J154" i="1" s="1"/>
  <c r="Q153" i="1"/>
  <c r="P153" i="1"/>
  <c r="O153" i="1"/>
  <c r="M153" i="1"/>
  <c r="L153" i="1"/>
  <c r="J153" i="1"/>
  <c r="I153" i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Q145" i="1"/>
  <c r="P145" i="1"/>
  <c r="O145" i="1"/>
  <c r="M145" i="1"/>
  <c r="L145" i="1"/>
  <c r="J145" i="1"/>
  <c r="I145" i="1"/>
  <c r="I141" i="1"/>
  <c r="J141" i="1" s="1"/>
  <c r="Q140" i="1"/>
  <c r="P140" i="1"/>
  <c r="O140" i="1"/>
  <c r="M140" i="1"/>
  <c r="L140" i="1"/>
  <c r="J140" i="1"/>
  <c r="I140" i="1"/>
  <c r="I139" i="1"/>
  <c r="J139" i="1" s="1"/>
  <c r="I138" i="1"/>
  <c r="J138" i="1" s="1"/>
  <c r="I137" i="1"/>
  <c r="J137" i="1" s="1"/>
  <c r="Q136" i="1"/>
  <c r="P136" i="1"/>
  <c r="O136" i="1"/>
  <c r="N136" i="1"/>
  <c r="M136" i="1"/>
  <c r="L136" i="1"/>
  <c r="K136" i="1"/>
  <c r="J136" i="1"/>
  <c r="I136" i="1"/>
  <c r="Q133" i="1"/>
  <c r="P133" i="1"/>
  <c r="O133" i="1"/>
  <c r="N133" i="1"/>
  <c r="M133" i="1"/>
  <c r="L133" i="1"/>
  <c r="K133" i="1"/>
  <c r="J133" i="1"/>
  <c r="I133" i="1"/>
  <c r="I132" i="1"/>
  <c r="J132" i="1" s="1"/>
  <c r="I131" i="1"/>
  <c r="J131" i="1" s="1"/>
  <c r="I130" i="1"/>
  <c r="J130" i="1" s="1"/>
  <c r="Q129" i="1"/>
  <c r="P129" i="1"/>
  <c r="O129" i="1"/>
  <c r="M129" i="1"/>
  <c r="L129" i="1"/>
  <c r="J129" i="1"/>
  <c r="I129" i="1"/>
  <c r="I128" i="1"/>
  <c r="J128" i="1" s="1"/>
  <c r="Q127" i="1"/>
  <c r="P127" i="1"/>
  <c r="O127" i="1"/>
  <c r="M127" i="1"/>
  <c r="L127" i="1"/>
  <c r="J127" i="1"/>
  <c r="I127" i="1"/>
  <c r="I126" i="1"/>
  <c r="J126" i="1" s="1"/>
  <c r="Q125" i="1"/>
  <c r="P125" i="1"/>
  <c r="O125" i="1"/>
  <c r="M125" i="1"/>
  <c r="L125" i="1"/>
  <c r="J125" i="1"/>
  <c r="I125" i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Q117" i="1"/>
  <c r="P117" i="1"/>
  <c r="O117" i="1"/>
  <c r="M117" i="1"/>
  <c r="L117" i="1"/>
  <c r="J117" i="1"/>
  <c r="I117" i="1"/>
  <c r="I102" i="1"/>
  <c r="J102" i="1" s="1"/>
  <c r="I116" i="1"/>
  <c r="J116" i="1" s="1"/>
  <c r="Q115" i="1"/>
  <c r="P115" i="1"/>
  <c r="O115" i="1"/>
  <c r="N115" i="1"/>
  <c r="M115" i="1"/>
  <c r="L115" i="1"/>
  <c r="K115" i="1"/>
  <c r="J115" i="1"/>
  <c r="I115" i="1"/>
  <c r="Q112" i="1"/>
  <c r="P112" i="1"/>
  <c r="O112" i="1"/>
  <c r="N112" i="1"/>
  <c r="M112" i="1"/>
  <c r="L112" i="1"/>
  <c r="K112" i="1"/>
  <c r="J112" i="1"/>
  <c r="I112" i="1"/>
  <c r="Q110" i="1"/>
  <c r="P110" i="1"/>
  <c r="O110" i="1"/>
  <c r="M110" i="1"/>
  <c r="L110" i="1"/>
  <c r="J110" i="1"/>
  <c r="I110" i="1"/>
  <c r="I109" i="1"/>
  <c r="J109" i="1" s="1"/>
  <c r="I108" i="1"/>
  <c r="J108" i="1" s="1"/>
  <c r="Q106" i="1"/>
  <c r="P106" i="1"/>
  <c r="O106" i="1"/>
  <c r="N106" i="1"/>
  <c r="M106" i="1"/>
  <c r="L106" i="1"/>
  <c r="K106" i="1"/>
  <c r="J106" i="1"/>
  <c r="I106" i="1"/>
  <c r="Q103" i="1"/>
  <c r="P103" i="1"/>
  <c r="O103" i="1"/>
  <c r="N103" i="1"/>
  <c r="M103" i="1"/>
  <c r="L103" i="1"/>
  <c r="K103" i="1"/>
  <c r="J103" i="1"/>
  <c r="I103" i="1"/>
  <c r="Q101" i="1"/>
  <c r="P101" i="1"/>
  <c r="O101" i="1"/>
  <c r="M101" i="1"/>
  <c r="L101" i="1"/>
  <c r="J101" i="1"/>
  <c r="I101" i="1"/>
  <c r="I100" i="1"/>
  <c r="J100" i="1" s="1"/>
  <c r="I99" i="1"/>
  <c r="J99" i="1" s="1"/>
  <c r="Q98" i="1"/>
  <c r="P98" i="1"/>
  <c r="O98" i="1"/>
  <c r="N98" i="1"/>
  <c r="M98" i="1"/>
  <c r="L98" i="1"/>
  <c r="K98" i="1"/>
  <c r="J98" i="1"/>
  <c r="I98" i="1"/>
  <c r="Q63" i="1"/>
  <c r="P63" i="1"/>
  <c r="O63" i="1"/>
  <c r="N63" i="1"/>
  <c r="M63" i="1"/>
  <c r="L63" i="1"/>
  <c r="K63" i="1"/>
  <c r="J63" i="1"/>
  <c r="I63" i="1"/>
  <c r="Q60" i="1"/>
  <c r="P60" i="1"/>
  <c r="O60" i="1"/>
  <c r="N60" i="1"/>
  <c r="M60" i="1"/>
  <c r="L60" i="1"/>
  <c r="K60" i="1"/>
  <c r="J60" i="1"/>
  <c r="I60" i="1"/>
  <c r="I59" i="1"/>
  <c r="J59" i="1" s="1"/>
  <c r="Q58" i="1"/>
  <c r="P58" i="1"/>
  <c r="O58" i="1"/>
  <c r="M58" i="1"/>
  <c r="L58" i="1"/>
  <c r="K58" i="1"/>
  <c r="J58" i="1"/>
  <c r="I58" i="1"/>
  <c r="Q55" i="1"/>
  <c r="P55" i="1"/>
  <c r="O55" i="1"/>
  <c r="N55" i="1"/>
  <c r="M55" i="1"/>
  <c r="L55" i="1"/>
  <c r="K55" i="1"/>
  <c r="J55" i="1"/>
  <c r="I55" i="1"/>
  <c r="I54" i="1"/>
  <c r="J54" i="1" s="1"/>
  <c r="Q53" i="1"/>
  <c r="P53" i="1"/>
  <c r="O53" i="1"/>
  <c r="M53" i="1"/>
  <c r="L53" i="1"/>
  <c r="J53" i="1"/>
  <c r="I53" i="1"/>
  <c r="Q43" i="1"/>
  <c r="P43" i="1"/>
  <c r="O43" i="1"/>
  <c r="N43" i="1"/>
  <c r="M43" i="1"/>
  <c r="L43" i="1"/>
  <c r="K43" i="1"/>
  <c r="J43" i="1"/>
  <c r="I43" i="1"/>
  <c r="Q36" i="1"/>
  <c r="P36" i="1"/>
  <c r="O36" i="1"/>
  <c r="M36" i="1"/>
  <c r="L36" i="1"/>
  <c r="J36" i="1"/>
  <c r="I36" i="1"/>
  <c r="I35" i="1"/>
  <c r="J35" i="1" s="1"/>
  <c r="I34" i="1"/>
  <c r="J34" i="1" s="1"/>
  <c r="I33" i="1"/>
  <c r="J33" i="1" s="1"/>
  <c r="I32" i="1"/>
  <c r="J32" i="1" s="1"/>
  <c r="Q31" i="1"/>
  <c r="P31" i="1"/>
  <c r="O31" i="1"/>
  <c r="M31" i="1"/>
  <c r="L31" i="1"/>
  <c r="J31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Q23" i="1"/>
  <c r="P23" i="1"/>
  <c r="O23" i="1"/>
  <c r="N23" i="1"/>
  <c r="M23" i="1"/>
  <c r="L23" i="1"/>
  <c r="K23" i="1"/>
  <c r="J23" i="1"/>
  <c r="I23" i="1"/>
  <c r="O316" i="1" l="1"/>
  <c r="P316" i="1" s="1"/>
  <c r="Q316" i="1" s="1"/>
  <c r="L283" i="1"/>
  <c r="O283" i="1"/>
  <c r="O271" i="1"/>
  <c r="O279" i="1"/>
  <c r="L109" i="1"/>
  <c r="O109" i="1"/>
  <c r="O54" i="1"/>
  <c r="Q56" i="1" s="1"/>
  <c r="L54" i="1"/>
  <c r="K56" i="1" s="1"/>
  <c r="O128" i="1"/>
  <c r="L132" i="1"/>
  <c r="O132" i="1"/>
  <c r="L269" i="1"/>
  <c r="O269" i="1"/>
  <c r="O266" i="1"/>
  <c r="L128" i="1"/>
  <c r="L271" i="1"/>
  <c r="L270" i="1"/>
  <c r="O270" i="1"/>
  <c r="L266" i="1"/>
  <c r="O116" i="1"/>
  <c r="O123" i="1"/>
  <c r="L264" i="1"/>
  <c r="L277" i="1"/>
  <c r="O278" i="1"/>
  <c r="L278" i="1"/>
  <c r="L120" i="1"/>
  <c r="L296" i="1"/>
  <c r="O120" i="1"/>
  <c r="L279" i="1"/>
  <c r="O277" i="1"/>
  <c r="L122" i="1"/>
  <c r="O122" i="1"/>
  <c r="L121" i="1"/>
  <c r="L116" i="1"/>
  <c r="O126" i="1"/>
  <c r="L289" i="1"/>
  <c r="L126" i="1"/>
  <c r="O119" i="1"/>
  <c r="O289" i="1"/>
  <c r="L290" i="1"/>
  <c r="O290" i="1"/>
  <c r="L288" i="1"/>
  <c r="O288" i="1"/>
  <c r="O264" i="1"/>
  <c r="L131" i="1"/>
  <c r="O131" i="1"/>
  <c r="L123" i="1"/>
  <c r="L124" i="1"/>
  <c r="O124" i="1"/>
  <c r="O121" i="1"/>
  <c r="L119" i="1"/>
  <c r="O130" i="1"/>
  <c r="O296" i="1"/>
  <c r="L100" i="1"/>
  <c r="O100" i="1"/>
  <c r="L99" i="1"/>
  <c r="O99" i="1"/>
  <c r="L130" i="1"/>
  <c r="L154" i="1"/>
  <c r="O154" i="1"/>
  <c r="L156" i="1"/>
  <c r="O301" i="1"/>
  <c r="O302" i="1"/>
  <c r="L302" i="1"/>
  <c r="L301" i="1"/>
  <c r="L151" i="1"/>
  <c r="O151" i="1"/>
  <c r="O149" i="1"/>
  <c r="L149" i="1"/>
  <c r="L137" i="1"/>
  <c r="L150" i="1"/>
  <c r="O150" i="1"/>
  <c r="L139" i="1"/>
  <c r="O146" i="1"/>
  <c r="L146" i="1"/>
  <c r="O138" i="1"/>
  <c r="L148" i="1"/>
  <c r="O148" i="1"/>
  <c r="L147" i="1"/>
  <c r="O147" i="1"/>
  <c r="O139" i="1"/>
  <c r="L138" i="1"/>
  <c r="O137" i="1"/>
  <c r="O365" i="1"/>
  <c r="L367" i="1"/>
  <c r="O367" i="1"/>
  <c r="L102" i="1"/>
  <c r="L334" i="1"/>
  <c r="L141" i="1"/>
  <c r="O141" i="1"/>
  <c r="O102" i="1"/>
  <c r="L285" i="1"/>
  <c r="O285" i="1"/>
  <c r="L339" i="1"/>
  <c r="L169" i="1"/>
  <c r="O330" i="1"/>
  <c r="O339" i="1"/>
  <c r="O169" i="1"/>
  <c r="O332" i="1"/>
  <c r="L330" i="1"/>
  <c r="O156" i="1"/>
  <c r="L363" i="1"/>
  <c r="O363" i="1"/>
  <c r="L332" i="1"/>
  <c r="L365" i="1"/>
  <c r="O335" i="1"/>
  <c r="L335" i="1"/>
  <c r="O334" i="1"/>
  <c r="L364" i="1"/>
  <c r="O364" i="1"/>
  <c r="L344" i="1"/>
  <c r="O344" i="1"/>
  <c r="L108" i="1"/>
  <c r="O108" i="1"/>
  <c r="L342" i="1"/>
  <c r="O342" i="1"/>
  <c r="O299" i="1"/>
  <c r="L341" i="1"/>
  <c r="O341" i="1"/>
  <c r="L299" i="1"/>
  <c r="L298" i="1"/>
  <c r="O298" i="1"/>
  <c r="O350" i="1"/>
  <c r="L350" i="1"/>
  <c r="L351" i="1"/>
  <c r="O351" i="1"/>
  <c r="L273" i="1"/>
  <c r="O273" i="1"/>
  <c r="L287" i="1"/>
  <c r="O287" i="1"/>
  <c r="L59" i="1"/>
  <c r="K61" i="1" s="1"/>
  <c r="O59" i="1"/>
  <c r="Q61" i="1" s="1"/>
  <c r="O35" i="1"/>
  <c r="O899" i="1"/>
  <c r="Q904" i="1" s="1"/>
  <c r="L899" i="1"/>
  <c r="K904" i="1" s="1"/>
  <c r="L30" i="1"/>
  <c r="L25" i="1"/>
  <c r="O26" i="1"/>
  <c r="O24" i="1"/>
  <c r="O25" i="1"/>
  <c r="L29" i="1"/>
  <c r="L26" i="1"/>
  <c r="O32" i="1"/>
  <c r="L35" i="1"/>
  <c r="L27" i="1"/>
  <c r="O29" i="1"/>
  <c r="L33" i="1"/>
  <c r="O30" i="1"/>
  <c r="O33" i="1"/>
  <c r="L34" i="1"/>
  <c r="O28" i="1"/>
  <c r="L32" i="1"/>
  <c r="O34" i="1"/>
  <c r="L28" i="1"/>
  <c r="O27" i="1"/>
  <c r="L24" i="1"/>
  <c r="K21" i="1"/>
  <c r="D5" i="2" s="1"/>
  <c r="Q21" i="1"/>
  <c r="Q41" i="1" l="1"/>
  <c r="K41" i="1"/>
  <c r="K104" i="1"/>
  <c r="Q104" i="1"/>
  <c r="Q294" i="1"/>
  <c r="K134" i="1"/>
  <c r="K171" i="1"/>
  <c r="K294" i="1"/>
  <c r="Q171" i="1"/>
  <c r="Q134" i="1"/>
  <c r="K346" i="1"/>
  <c r="Q337" i="1"/>
  <c r="K369" i="1"/>
  <c r="Q369" i="1"/>
  <c r="K337" i="1"/>
  <c r="Q346" i="1"/>
  <c r="F5" i="2"/>
  <c r="Q105" i="1"/>
  <c r="P105" i="1"/>
  <c r="O105" i="1"/>
  <c r="N105" i="1"/>
  <c r="M105" i="1"/>
  <c r="L105" i="1"/>
  <c r="K105" i="1"/>
  <c r="J105" i="1"/>
  <c r="I105" i="1"/>
  <c r="R908" i="1" l="1"/>
  <c r="K113" i="1"/>
  <c r="D10" i="2" s="1"/>
  <c r="K906" i="1"/>
  <c r="R910" i="1"/>
  <c r="Q113" i="1"/>
  <c r="Q906" i="1"/>
  <c r="D15" i="2"/>
  <c r="D11" i="2"/>
  <c r="D14" i="2"/>
  <c r="D9" i="2"/>
  <c r="D16" i="2"/>
  <c r="D21" i="2"/>
  <c r="D12" i="2"/>
  <c r="D8" i="2" l="1"/>
  <c r="D7" i="2"/>
  <c r="L29" i="2" l="1"/>
  <c r="F8" i="2" l="1"/>
  <c r="F7" i="2"/>
  <c r="F10" i="2" l="1"/>
  <c r="F21" i="2"/>
  <c r="F11" i="2"/>
  <c r="D6" i="2" l="1"/>
  <c r="F14" i="2" l="1"/>
  <c r="F9" i="2" l="1"/>
  <c r="F6" i="2"/>
  <c r="F16" i="2"/>
  <c r="F15" i="2"/>
  <c r="L27" i="2" l="1"/>
  <c r="D13" i="2"/>
  <c r="D23" i="2" s="1"/>
  <c r="E27" i="2" s="1"/>
  <c r="F12" i="2" l="1"/>
  <c r="L28" i="2" l="1"/>
  <c r="E28" i="2"/>
  <c r="F13" i="2" l="1"/>
  <c r="F23" i="2" s="1"/>
  <c r="L33" i="2" l="1"/>
  <c r="L34" i="2" s="1"/>
  <c r="P10" i="3" l="1"/>
  <c r="P10" i="5"/>
  <c r="M283" i="1"/>
  <c r="P283" i="1" s="1"/>
  <c r="Q283" i="1" s="1"/>
  <c r="M902" i="1"/>
  <c r="P902" i="1" s="1"/>
  <c r="Q902" i="1" s="1"/>
  <c r="M107" i="1"/>
  <c r="P107" i="1" s="1"/>
  <c r="Q107" i="1" s="1"/>
  <c r="M64" i="1"/>
  <c r="P64" i="1" s="1"/>
  <c r="Q64" i="1" s="1"/>
  <c r="M875" i="1"/>
  <c r="P875" i="1" s="1"/>
  <c r="Q875" i="1" s="1"/>
  <c r="M858" i="1"/>
  <c r="P858" i="1" s="1"/>
  <c r="Q858" i="1" s="1"/>
  <c r="M794" i="1"/>
  <c r="P794" i="1" s="1"/>
  <c r="Q794" i="1" s="1"/>
  <c r="M790" i="1"/>
  <c r="P790" i="1" s="1"/>
  <c r="Q790" i="1" s="1"/>
  <c r="M757" i="1"/>
  <c r="P757" i="1" s="1"/>
  <c r="Q757" i="1" s="1"/>
  <c r="M890" i="1"/>
  <c r="P890" i="1" s="1"/>
  <c r="Q890" i="1" s="1"/>
  <c r="M840" i="1"/>
  <c r="P840" i="1" s="1"/>
  <c r="Q840" i="1" s="1"/>
  <c r="M771" i="1"/>
  <c r="P771" i="1" s="1"/>
  <c r="Q771" i="1" s="1"/>
  <c r="M887" i="1"/>
  <c r="P887" i="1" s="1"/>
  <c r="Q887" i="1" s="1"/>
  <c r="M881" i="1"/>
  <c r="P881" i="1" s="1"/>
  <c r="Q881" i="1" s="1"/>
  <c r="M864" i="1"/>
  <c r="P864" i="1" s="1"/>
  <c r="Q864" i="1" s="1"/>
  <c r="M843" i="1"/>
  <c r="P843" i="1" s="1"/>
  <c r="Q843" i="1" s="1"/>
  <c r="M830" i="1"/>
  <c r="P830" i="1" s="1"/>
  <c r="Q830" i="1" s="1"/>
  <c r="M824" i="1"/>
  <c r="P824" i="1" s="1"/>
  <c r="Q824" i="1" s="1"/>
  <c r="M811" i="1"/>
  <c r="P811" i="1" s="1"/>
  <c r="Q811" i="1" s="1"/>
  <c r="M805" i="1"/>
  <c r="P805" i="1" s="1"/>
  <c r="Q805" i="1" s="1"/>
  <c r="M773" i="1"/>
  <c r="P773" i="1" s="1"/>
  <c r="Q773" i="1" s="1"/>
  <c r="M752" i="1"/>
  <c r="P752" i="1" s="1"/>
  <c r="Q752" i="1" s="1"/>
  <c r="M748" i="1"/>
  <c r="P748" i="1" s="1"/>
  <c r="Q748" i="1" s="1"/>
  <c r="M732" i="1"/>
  <c r="P732" i="1" s="1"/>
  <c r="Q732" i="1" s="1"/>
  <c r="M821" i="1"/>
  <c r="P821" i="1" s="1"/>
  <c r="Q821" i="1" s="1"/>
  <c r="M893" i="1"/>
  <c r="P893" i="1" s="1"/>
  <c r="Q893" i="1" s="1"/>
  <c r="M871" i="1"/>
  <c r="P871" i="1" s="1"/>
  <c r="Q871" i="1" s="1"/>
  <c r="M854" i="1"/>
  <c r="P854" i="1" s="1"/>
  <c r="Q854" i="1" s="1"/>
  <c r="M782" i="1"/>
  <c r="P782" i="1" s="1"/>
  <c r="Q782" i="1" s="1"/>
  <c r="M778" i="1"/>
  <c r="P778" i="1" s="1"/>
  <c r="Q778" i="1" s="1"/>
  <c r="M743" i="1"/>
  <c r="P743" i="1" s="1"/>
  <c r="Q743" i="1" s="1"/>
  <c r="M827" i="1"/>
  <c r="P827" i="1" s="1"/>
  <c r="Q827" i="1" s="1"/>
  <c r="M802" i="1"/>
  <c r="P802" i="1" s="1"/>
  <c r="Q802" i="1" s="1"/>
  <c r="M734" i="1"/>
  <c r="P734" i="1" s="1"/>
  <c r="Q734" i="1" s="1"/>
  <c r="M888" i="1"/>
  <c r="P888" i="1" s="1"/>
  <c r="Q888" i="1" s="1"/>
  <c r="M882" i="1"/>
  <c r="P882" i="1" s="1"/>
  <c r="Q882" i="1" s="1"/>
  <c r="M876" i="1"/>
  <c r="P876" i="1" s="1"/>
  <c r="Q876" i="1" s="1"/>
  <c r="M865" i="1"/>
  <c r="P865" i="1" s="1"/>
  <c r="Q865" i="1" s="1"/>
  <c r="M859" i="1"/>
  <c r="P859" i="1" s="1"/>
  <c r="Q859" i="1" s="1"/>
  <c r="M844" i="1"/>
  <c r="P844" i="1" s="1"/>
  <c r="Q844" i="1" s="1"/>
  <c r="M838" i="1"/>
  <c r="P838" i="1" s="1"/>
  <c r="Q838" i="1" s="1"/>
  <c r="M831" i="1"/>
  <c r="P831" i="1" s="1"/>
  <c r="Q831" i="1" s="1"/>
  <c r="M825" i="1"/>
  <c r="P825" i="1" s="1"/>
  <c r="Q825" i="1" s="1"/>
  <c r="M819" i="1"/>
  <c r="P819" i="1" s="1"/>
  <c r="Q819" i="1" s="1"/>
  <c r="M812" i="1"/>
  <c r="P812" i="1" s="1"/>
  <c r="Q812" i="1" s="1"/>
  <c r="M806" i="1"/>
  <c r="P806" i="1" s="1"/>
  <c r="Q806" i="1" s="1"/>
  <c r="M795" i="1"/>
  <c r="P795" i="1" s="1"/>
  <c r="Q795" i="1" s="1"/>
  <c r="M791" i="1"/>
  <c r="P791" i="1" s="1"/>
  <c r="Q791" i="1" s="1"/>
  <c r="M765" i="1"/>
  <c r="P765" i="1" s="1"/>
  <c r="Q765" i="1" s="1"/>
  <c r="M758" i="1"/>
  <c r="P758" i="1" s="1"/>
  <c r="Q758" i="1" s="1"/>
  <c r="M738" i="1"/>
  <c r="P738" i="1" s="1"/>
  <c r="Q738" i="1" s="1"/>
  <c r="M728" i="1"/>
  <c r="P728" i="1" s="1"/>
  <c r="M750" i="1"/>
  <c r="P750" i="1" s="1"/>
  <c r="Q750" i="1" s="1"/>
  <c r="M894" i="1"/>
  <c r="P894" i="1" s="1"/>
  <c r="Q894" i="1" s="1"/>
  <c r="M770" i="1"/>
  <c r="P770" i="1" s="1"/>
  <c r="Q770" i="1" s="1"/>
  <c r="M749" i="1"/>
  <c r="P749" i="1" s="1"/>
  <c r="Q749" i="1" s="1"/>
  <c r="M733" i="1"/>
  <c r="P733" i="1" s="1"/>
  <c r="Q733" i="1" s="1"/>
  <c r="M867" i="1"/>
  <c r="P867" i="1" s="1"/>
  <c r="Q867" i="1" s="1"/>
  <c r="M846" i="1"/>
  <c r="P846" i="1" s="1"/>
  <c r="Q846" i="1" s="1"/>
  <c r="M814" i="1"/>
  <c r="P814" i="1" s="1"/>
  <c r="Q814" i="1" s="1"/>
  <c r="M808" i="1"/>
  <c r="P808" i="1" s="1"/>
  <c r="Q808" i="1" s="1"/>
  <c r="M889" i="1"/>
  <c r="P889" i="1" s="1"/>
  <c r="Q889" i="1" s="1"/>
  <c r="M883" i="1"/>
  <c r="P883" i="1" s="1"/>
  <c r="Q883" i="1" s="1"/>
  <c r="M866" i="1"/>
  <c r="P866" i="1" s="1"/>
  <c r="Q866" i="1" s="1"/>
  <c r="M845" i="1"/>
  <c r="P845" i="1" s="1"/>
  <c r="Q845" i="1" s="1"/>
  <c r="M839" i="1"/>
  <c r="P839" i="1" s="1"/>
  <c r="Q839" i="1" s="1"/>
  <c r="M832" i="1"/>
  <c r="P832" i="1" s="1"/>
  <c r="Q832" i="1" s="1"/>
  <c r="M826" i="1"/>
  <c r="P826" i="1" s="1"/>
  <c r="Q826" i="1" s="1"/>
  <c r="M820" i="1"/>
  <c r="P820" i="1" s="1"/>
  <c r="Q820" i="1" s="1"/>
  <c r="M813" i="1"/>
  <c r="P813" i="1" s="1"/>
  <c r="Q813" i="1" s="1"/>
  <c r="M807" i="1"/>
  <c r="P807" i="1" s="1"/>
  <c r="Q807" i="1" s="1"/>
  <c r="M801" i="1"/>
  <c r="P801" i="1" s="1"/>
  <c r="Q801" i="1" s="1"/>
  <c r="M783" i="1"/>
  <c r="P783" i="1" s="1"/>
  <c r="Q783" i="1" s="1"/>
  <c r="M779" i="1"/>
  <c r="P779" i="1" s="1"/>
  <c r="Q779" i="1" s="1"/>
  <c r="M744" i="1"/>
  <c r="P744" i="1" s="1"/>
  <c r="Q744" i="1" s="1"/>
  <c r="M729" i="1"/>
  <c r="P729" i="1" s="1"/>
  <c r="Q729" i="1" s="1"/>
  <c r="M796" i="1"/>
  <c r="P796" i="1" s="1"/>
  <c r="Q796" i="1" s="1"/>
  <c r="M792" i="1"/>
  <c r="P792" i="1" s="1"/>
  <c r="Q792" i="1" s="1"/>
  <c r="M788" i="1"/>
  <c r="P788" i="1" s="1"/>
  <c r="Q788" i="1" s="1"/>
  <c r="M766" i="1"/>
  <c r="P766" i="1" s="1"/>
  <c r="Q766" i="1" s="1"/>
  <c r="M755" i="1"/>
  <c r="P755" i="1" s="1"/>
  <c r="Q755" i="1" s="1"/>
  <c r="M852" i="1"/>
  <c r="P852" i="1" s="1"/>
  <c r="Q852" i="1" s="1"/>
  <c r="M784" i="1"/>
  <c r="P784" i="1" s="1"/>
  <c r="Q784" i="1" s="1"/>
  <c r="M780" i="1"/>
  <c r="P780" i="1" s="1"/>
  <c r="Q780" i="1" s="1"/>
  <c r="M776" i="1"/>
  <c r="P776" i="1" s="1"/>
  <c r="Q776" i="1" s="1"/>
  <c r="M761" i="1"/>
  <c r="P761" i="1" s="1"/>
  <c r="Q761" i="1" s="1"/>
  <c r="M891" i="1"/>
  <c r="P891" i="1" s="1"/>
  <c r="Q891" i="1" s="1"/>
  <c r="M885" i="1"/>
  <c r="P885" i="1" s="1"/>
  <c r="Q885" i="1" s="1"/>
  <c r="M879" i="1"/>
  <c r="P879" i="1" s="1"/>
  <c r="Q879" i="1" s="1"/>
  <c r="M874" i="1"/>
  <c r="P874" i="1" s="1"/>
  <c r="Q874" i="1" s="1"/>
  <c r="M862" i="1"/>
  <c r="P862" i="1" s="1"/>
  <c r="Q862" i="1" s="1"/>
  <c r="M857" i="1"/>
  <c r="P857" i="1" s="1"/>
  <c r="Q857" i="1" s="1"/>
  <c r="M847" i="1"/>
  <c r="P847" i="1" s="1"/>
  <c r="Q847" i="1" s="1"/>
  <c r="M841" i="1"/>
  <c r="P841" i="1" s="1"/>
  <c r="Q841" i="1" s="1"/>
  <c r="M828" i="1"/>
  <c r="P828" i="1" s="1"/>
  <c r="Q828" i="1" s="1"/>
  <c r="M822" i="1"/>
  <c r="P822" i="1" s="1"/>
  <c r="Q822" i="1" s="1"/>
  <c r="M815" i="1"/>
  <c r="P815" i="1" s="1"/>
  <c r="Q815" i="1" s="1"/>
  <c r="M809" i="1"/>
  <c r="P809" i="1" s="1"/>
  <c r="Q809" i="1" s="1"/>
  <c r="M803" i="1"/>
  <c r="P803" i="1" s="1"/>
  <c r="Q803" i="1" s="1"/>
  <c r="M797" i="1"/>
  <c r="P797" i="1" s="1"/>
  <c r="Q797" i="1" s="1"/>
  <c r="M793" i="1"/>
  <c r="P793" i="1" s="1"/>
  <c r="Q793" i="1" s="1"/>
  <c r="M789" i="1"/>
  <c r="P789" i="1" s="1"/>
  <c r="Q789" i="1" s="1"/>
  <c r="M767" i="1"/>
  <c r="P767" i="1" s="1"/>
  <c r="Q767" i="1" s="1"/>
  <c r="M756" i="1"/>
  <c r="P756" i="1" s="1"/>
  <c r="Q756" i="1" s="1"/>
  <c r="M740" i="1"/>
  <c r="P740" i="1" s="1"/>
  <c r="Q740" i="1" s="1"/>
  <c r="M884" i="1"/>
  <c r="P884" i="1" s="1"/>
  <c r="Q884" i="1" s="1"/>
  <c r="M772" i="1"/>
  <c r="P772" i="1" s="1"/>
  <c r="Q772" i="1" s="1"/>
  <c r="M751" i="1"/>
  <c r="P751" i="1" s="1"/>
  <c r="Q751" i="1" s="1"/>
  <c r="M747" i="1"/>
  <c r="P747" i="1" s="1"/>
  <c r="Q747" i="1" s="1"/>
  <c r="M735" i="1"/>
  <c r="P735" i="1" s="1"/>
  <c r="Q735" i="1" s="1"/>
  <c r="M892" i="1"/>
  <c r="P892" i="1" s="1"/>
  <c r="Q892" i="1" s="1"/>
  <c r="M886" i="1"/>
  <c r="P886" i="1" s="1"/>
  <c r="Q886" i="1" s="1"/>
  <c r="M880" i="1"/>
  <c r="P880" i="1" s="1"/>
  <c r="Q880" i="1" s="1"/>
  <c r="M863" i="1"/>
  <c r="P863" i="1" s="1"/>
  <c r="Q863" i="1" s="1"/>
  <c r="M853" i="1"/>
  <c r="P853" i="1" s="1"/>
  <c r="Q853" i="1" s="1"/>
  <c r="M848" i="1"/>
  <c r="P848" i="1" s="1"/>
  <c r="Q848" i="1" s="1"/>
  <c r="M842" i="1"/>
  <c r="P842" i="1" s="1"/>
  <c r="Q842" i="1" s="1"/>
  <c r="M835" i="1"/>
  <c r="P835" i="1" s="1"/>
  <c r="Q835" i="1" s="1"/>
  <c r="M829" i="1"/>
  <c r="P829" i="1" s="1"/>
  <c r="Q829" i="1" s="1"/>
  <c r="M823" i="1"/>
  <c r="P823" i="1" s="1"/>
  <c r="Q823" i="1" s="1"/>
  <c r="M816" i="1"/>
  <c r="P816" i="1" s="1"/>
  <c r="Q816" i="1" s="1"/>
  <c r="M810" i="1"/>
  <c r="P810" i="1" s="1"/>
  <c r="Q810" i="1" s="1"/>
  <c r="M804" i="1"/>
  <c r="P804" i="1" s="1"/>
  <c r="Q804" i="1" s="1"/>
  <c r="M785" i="1"/>
  <c r="P785" i="1" s="1"/>
  <c r="Q785" i="1" s="1"/>
  <c r="M781" i="1"/>
  <c r="P781" i="1" s="1"/>
  <c r="Q781" i="1" s="1"/>
  <c r="M777" i="1"/>
  <c r="P777" i="1" s="1"/>
  <c r="Q777" i="1" s="1"/>
  <c r="M739" i="1"/>
  <c r="P739" i="1" s="1"/>
  <c r="Q739" i="1" s="1"/>
  <c r="M714" i="1"/>
  <c r="P714" i="1" s="1"/>
  <c r="Q714" i="1" s="1"/>
  <c r="M708" i="1"/>
  <c r="P708" i="1" s="1"/>
  <c r="Q708" i="1" s="1"/>
  <c r="M702" i="1"/>
  <c r="P702" i="1" s="1"/>
  <c r="Q702" i="1" s="1"/>
  <c r="M696" i="1"/>
  <c r="P696" i="1" s="1"/>
  <c r="Q696" i="1" s="1"/>
  <c r="M690" i="1"/>
  <c r="P690" i="1" s="1"/>
  <c r="Q690" i="1" s="1"/>
  <c r="M684" i="1"/>
  <c r="P684" i="1" s="1"/>
  <c r="Q684" i="1" s="1"/>
  <c r="M678" i="1"/>
  <c r="P678" i="1" s="1"/>
  <c r="Q678" i="1" s="1"/>
  <c r="M672" i="1"/>
  <c r="P672" i="1" s="1"/>
  <c r="Q672" i="1" s="1"/>
  <c r="M665" i="1"/>
  <c r="P665" i="1" s="1"/>
  <c r="Q665" i="1" s="1"/>
  <c r="M659" i="1"/>
  <c r="P659" i="1" s="1"/>
  <c r="Q659" i="1" s="1"/>
  <c r="M653" i="1"/>
  <c r="P653" i="1" s="1"/>
  <c r="Q653" i="1" s="1"/>
  <c r="M647" i="1"/>
  <c r="P647" i="1" s="1"/>
  <c r="Q647" i="1" s="1"/>
  <c r="M641" i="1"/>
  <c r="P641" i="1" s="1"/>
  <c r="Q641" i="1" s="1"/>
  <c r="M635" i="1"/>
  <c r="P635" i="1" s="1"/>
  <c r="Q635" i="1" s="1"/>
  <c r="M629" i="1"/>
  <c r="P629" i="1" s="1"/>
  <c r="Q629" i="1" s="1"/>
  <c r="M625" i="1"/>
  <c r="P625" i="1" s="1"/>
  <c r="Q625" i="1" s="1"/>
  <c r="M621" i="1"/>
  <c r="P621" i="1" s="1"/>
  <c r="Q621" i="1" s="1"/>
  <c r="M617" i="1"/>
  <c r="P617" i="1" s="1"/>
  <c r="Q617" i="1" s="1"/>
  <c r="M613" i="1"/>
  <c r="P613" i="1" s="1"/>
  <c r="Q613" i="1" s="1"/>
  <c r="M715" i="1"/>
  <c r="P715" i="1" s="1"/>
  <c r="Q715" i="1" s="1"/>
  <c r="M709" i="1"/>
  <c r="P709" i="1" s="1"/>
  <c r="Q709" i="1" s="1"/>
  <c r="M703" i="1"/>
  <c r="P703" i="1" s="1"/>
  <c r="Q703" i="1" s="1"/>
  <c r="M697" i="1"/>
  <c r="P697" i="1" s="1"/>
  <c r="Q697" i="1" s="1"/>
  <c r="M691" i="1"/>
  <c r="P691" i="1" s="1"/>
  <c r="Q691" i="1" s="1"/>
  <c r="M685" i="1"/>
  <c r="P685" i="1" s="1"/>
  <c r="Q685" i="1" s="1"/>
  <c r="M679" i="1"/>
  <c r="P679" i="1" s="1"/>
  <c r="Q679" i="1" s="1"/>
  <c r="M673" i="1"/>
  <c r="P673" i="1" s="1"/>
  <c r="Q673" i="1" s="1"/>
  <c r="M666" i="1"/>
  <c r="P666" i="1" s="1"/>
  <c r="Q666" i="1" s="1"/>
  <c r="M660" i="1"/>
  <c r="P660" i="1" s="1"/>
  <c r="Q660" i="1" s="1"/>
  <c r="M654" i="1"/>
  <c r="P654" i="1" s="1"/>
  <c r="Q654" i="1" s="1"/>
  <c r="M648" i="1"/>
  <c r="P648" i="1" s="1"/>
  <c r="Q648" i="1" s="1"/>
  <c r="M642" i="1"/>
  <c r="P642" i="1" s="1"/>
  <c r="Q642" i="1" s="1"/>
  <c r="M636" i="1"/>
  <c r="P636" i="1" s="1"/>
  <c r="Q636" i="1" s="1"/>
  <c r="M609" i="1"/>
  <c r="P609" i="1" s="1"/>
  <c r="Q609" i="1" s="1"/>
  <c r="M605" i="1"/>
  <c r="P605" i="1" s="1"/>
  <c r="Q605" i="1" s="1"/>
  <c r="M626" i="1"/>
  <c r="P626" i="1" s="1"/>
  <c r="Q626" i="1" s="1"/>
  <c r="M622" i="1"/>
  <c r="P622" i="1" s="1"/>
  <c r="Q622" i="1" s="1"/>
  <c r="M618" i="1"/>
  <c r="P618" i="1" s="1"/>
  <c r="Q618" i="1" s="1"/>
  <c r="M614" i="1"/>
  <c r="P614" i="1" s="1"/>
  <c r="Q614" i="1" s="1"/>
  <c r="M701" i="1"/>
  <c r="P701" i="1" s="1"/>
  <c r="Q701" i="1" s="1"/>
  <c r="M722" i="1"/>
  <c r="P722" i="1" s="1"/>
  <c r="Q722" i="1" s="1"/>
  <c r="M716" i="1"/>
  <c r="P716" i="1" s="1"/>
  <c r="Q716" i="1" s="1"/>
  <c r="M710" i="1"/>
  <c r="P710" i="1" s="1"/>
  <c r="Q710" i="1" s="1"/>
  <c r="M704" i="1"/>
  <c r="P704" i="1" s="1"/>
  <c r="Q704" i="1" s="1"/>
  <c r="M698" i="1"/>
  <c r="P698" i="1" s="1"/>
  <c r="Q698" i="1" s="1"/>
  <c r="M692" i="1"/>
  <c r="P692" i="1" s="1"/>
  <c r="Q692" i="1" s="1"/>
  <c r="M680" i="1"/>
  <c r="P680" i="1" s="1"/>
  <c r="Q680" i="1" s="1"/>
  <c r="M674" i="1"/>
  <c r="P674" i="1" s="1"/>
  <c r="Q674" i="1" s="1"/>
  <c r="M667" i="1"/>
  <c r="P667" i="1" s="1"/>
  <c r="Q667" i="1" s="1"/>
  <c r="M661" i="1"/>
  <c r="P661" i="1" s="1"/>
  <c r="Q661" i="1" s="1"/>
  <c r="M655" i="1"/>
  <c r="P655" i="1" s="1"/>
  <c r="Q655" i="1" s="1"/>
  <c r="M649" i="1"/>
  <c r="P649" i="1" s="1"/>
  <c r="Q649" i="1" s="1"/>
  <c r="M643" i="1"/>
  <c r="P643" i="1" s="1"/>
  <c r="Q643" i="1" s="1"/>
  <c r="M637" i="1"/>
  <c r="P637" i="1" s="1"/>
  <c r="Q637" i="1" s="1"/>
  <c r="M606" i="1"/>
  <c r="P606" i="1" s="1"/>
  <c r="Q606" i="1" s="1"/>
  <c r="M711" i="1"/>
  <c r="P711" i="1" s="1"/>
  <c r="Q711" i="1" s="1"/>
  <c r="M705" i="1"/>
  <c r="P705" i="1" s="1"/>
  <c r="Q705" i="1" s="1"/>
  <c r="M699" i="1"/>
  <c r="P699" i="1" s="1"/>
  <c r="Q699" i="1" s="1"/>
  <c r="M681" i="1"/>
  <c r="P681" i="1" s="1"/>
  <c r="Q681" i="1" s="1"/>
  <c r="M675" i="1"/>
  <c r="P675" i="1" s="1"/>
  <c r="Q675" i="1" s="1"/>
  <c r="M668" i="1"/>
  <c r="P668" i="1" s="1"/>
  <c r="Q668" i="1" s="1"/>
  <c r="M662" i="1"/>
  <c r="P662" i="1" s="1"/>
  <c r="Q662" i="1" s="1"/>
  <c r="M656" i="1"/>
  <c r="P656" i="1" s="1"/>
  <c r="Q656" i="1" s="1"/>
  <c r="M650" i="1"/>
  <c r="P650" i="1" s="1"/>
  <c r="Q650" i="1" s="1"/>
  <c r="M644" i="1"/>
  <c r="P644" i="1" s="1"/>
  <c r="Q644" i="1" s="1"/>
  <c r="M638" i="1"/>
  <c r="P638" i="1" s="1"/>
  <c r="Q638" i="1" s="1"/>
  <c r="M632" i="1"/>
  <c r="P632" i="1" s="1"/>
  <c r="Q632" i="1" s="1"/>
  <c r="M627" i="1"/>
  <c r="P627" i="1" s="1"/>
  <c r="Q627" i="1" s="1"/>
  <c r="M623" i="1"/>
  <c r="P623" i="1" s="1"/>
  <c r="Q623" i="1" s="1"/>
  <c r="M619" i="1"/>
  <c r="P619" i="1" s="1"/>
  <c r="Q619" i="1" s="1"/>
  <c r="M615" i="1"/>
  <c r="P615" i="1" s="1"/>
  <c r="Q615" i="1" s="1"/>
  <c r="M677" i="1"/>
  <c r="P677" i="1" s="1"/>
  <c r="Q677" i="1" s="1"/>
  <c r="M652" i="1"/>
  <c r="P652" i="1" s="1"/>
  <c r="Q652" i="1" s="1"/>
  <c r="M646" i="1"/>
  <c r="P646" i="1" s="1"/>
  <c r="Q646" i="1" s="1"/>
  <c r="M640" i="1"/>
  <c r="P640" i="1" s="1"/>
  <c r="Q640" i="1" s="1"/>
  <c r="M683" i="1"/>
  <c r="P683" i="1" s="1"/>
  <c r="Q683" i="1" s="1"/>
  <c r="M664" i="1"/>
  <c r="P664" i="1" s="1"/>
  <c r="Q664" i="1" s="1"/>
  <c r="M634" i="1"/>
  <c r="P634" i="1" s="1"/>
  <c r="Q634" i="1" s="1"/>
  <c r="M712" i="1"/>
  <c r="P712" i="1" s="1"/>
  <c r="Q712" i="1" s="1"/>
  <c r="M700" i="1"/>
  <c r="P700" i="1" s="1"/>
  <c r="Q700" i="1" s="1"/>
  <c r="M688" i="1"/>
  <c r="P688" i="1" s="1"/>
  <c r="Q688" i="1" s="1"/>
  <c r="M682" i="1"/>
  <c r="P682" i="1" s="1"/>
  <c r="Q682" i="1" s="1"/>
  <c r="M676" i="1"/>
  <c r="P676" i="1" s="1"/>
  <c r="Q676" i="1" s="1"/>
  <c r="M669" i="1"/>
  <c r="P669" i="1" s="1"/>
  <c r="Q669" i="1" s="1"/>
  <c r="M663" i="1"/>
  <c r="P663" i="1" s="1"/>
  <c r="Q663" i="1" s="1"/>
  <c r="M657" i="1"/>
  <c r="P657" i="1" s="1"/>
  <c r="Q657" i="1" s="1"/>
  <c r="M651" i="1"/>
  <c r="P651" i="1" s="1"/>
  <c r="Q651" i="1" s="1"/>
  <c r="M645" i="1"/>
  <c r="P645" i="1" s="1"/>
  <c r="Q645" i="1" s="1"/>
  <c r="M639" i="1"/>
  <c r="P639" i="1" s="1"/>
  <c r="Q639" i="1" s="1"/>
  <c r="M633" i="1"/>
  <c r="P633" i="1" s="1"/>
  <c r="Q633" i="1" s="1"/>
  <c r="M607" i="1"/>
  <c r="P607" i="1" s="1"/>
  <c r="Q607" i="1" s="1"/>
  <c r="M603" i="1"/>
  <c r="P603" i="1" s="1"/>
  <c r="M695" i="1"/>
  <c r="P695" i="1" s="1"/>
  <c r="Q695" i="1" s="1"/>
  <c r="M658" i="1"/>
  <c r="P658" i="1" s="1"/>
  <c r="Q658" i="1" s="1"/>
  <c r="M628" i="1"/>
  <c r="P628" i="1" s="1"/>
  <c r="Q628" i="1" s="1"/>
  <c r="M624" i="1"/>
  <c r="P624" i="1" s="1"/>
  <c r="Q624" i="1" s="1"/>
  <c r="M620" i="1"/>
  <c r="P620" i="1" s="1"/>
  <c r="Q620" i="1" s="1"/>
  <c r="M616" i="1"/>
  <c r="P616" i="1" s="1"/>
  <c r="Q616" i="1" s="1"/>
  <c r="M612" i="1"/>
  <c r="P612" i="1" s="1"/>
  <c r="Q612" i="1" s="1"/>
  <c r="M719" i="1"/>
  <c r="P719" i="1" s="1"/>
  <c r="Q719" i="1" s="1"/>
  <c r="M713" i="1"/>
  <c r="P713" i="1" s="1"/>
  <c r="Q713" i="1" s="1"/>
  <c r="M689" i="1"/>
  <c r="P689" i="1" s="1"/>
  <c r="Q689" i="1" s="1"/>
  <c r="M608" i="1"/>
  <c r="P608" i="1" s="1"/>
  <c r="Q608" i="1" s="1"/>
  <c r="M604" i="1"/>
  <c r="P604" i="1" s="1"/>
  <c r="Q604" i="1" s="1"/>
  <c r="M581" i="1"/>
  <c r="P581" i="1" s="1"/>
  <c r="Q581" i="1" s="1"/>
  <c r="M575" i="1"/>
  <c r="P575" i="1" s="1"/>
  <c r="Q575" i="1" s="1"/>
  <c r="M563" i="1"/>
  <c r="P563" i="1" s="1"/>
  <c r="Q563" i="1" s="1"/>
  <c r="M551" i="1"/>
  <c r="P551" i="1" s="1"/>
  <c r="Q551" i="1" s="1"/>
  <c r="M532" i="1"/>
  <c r="P532" i="1" s="1"/>
  <c r="Q532" i="1" s="1"/>
  <c r="M526" i="1"/>
  <c r="P526" i="1" s="1"/>
  <c r="Q526" i="1" s="1"/>
  <c r="M501" i="1"/>
  <c r="P501" i="1" s="1"/>
  <c r="Q501" i="1" s="1"/>
  <c r="M474" i="1"/>
  <c r="P474" i="1" s="1"/>
  <c r="Q474" i="1" s="1"/>
  <c r="M465" i="1"/>
  <c r="P465" i="1" s="1"/>
  <c r="Q465" i="1" s="1"/>
  <c r="M455" i="1"/>
  <c r="P455" i="1" s="1"/>
  <c r="Q455" i="1" s="1"/>
  <c r="M443" i="1"/>
  <c r="P443" i="1" s="1"/>
  <c r="Q443" i="1" s="1"/>
  <c r="M419" i="1"/>
  <c r="P419" i="1" s="1"/>
  <c r="Q419" i="1" s="1"/>
  <c r="M407" i="1"/>
  <c r="P407" i="1" s="1"/>
  <c r="Q407" i="1" s="1"/>
  <c r="M401" i="1"/>
  <c r="P401" i="1" s="1"/>
  <c r="Q401" i="1" s="1"/>
  <c r="M594" i="1"/>
  <c r="P594" i="1" s="1"/>
  <c r="Q594" i="1" s="1"/>
  <c r="M582" i="1"/>
  <c r="P582" i="1" s="1"/>
  <c r="Q582" i="1" s="1"/>
  <c r="M576" i="1"/>
  <c r="P576" i="1" s="1"/>
  <c r="Q576" i="1" s="1"/>
  <c r="M564" i="1"/>
  <c r="P564" i="1" s="1"/>
  <c r="Q564" i="1" s="1"/>
  <c r="M552" i="1"/>
  <c r="P552" i="1" s="1"/>
  <c r="Q552" i="1" s="1"/>
  <c r="M540" i="1"/>
  <c r="P540" i="1" s="1"/>
  <c r="Q540" i="1" s="1"/>
  <c r="M502" i="1"/>
  <c r="P502" i="1" s="1"/>
  <c r="Q502" i="1" s="1"/>
  <c r="M491" i="1"/>
  <c r="P491" i="1" s="1"/>
  <c r="Q491" i="1" s="1"/>
  <c r="M485" i="1"/>
  <c r="P485" i="1" s="1"/>
  <c r="Q485" i="1" s="1"/>
  <c r="M475" i="1"/>
  <c r="P475" i="1" s="1"/>
  <c r="Q475" i="1" s="1"/>
  <c r="M456" i="1"/>
  <c r="P456" i="1" s="1"/>
  <c r="Q456" i="1" s="1"/>
  <c r="M444" i="1"/>
  <c r="P444" i="1" s="1"/>
  <c r="Q444" i="1" s="1"/>
  <c r="M432" i="1"/>
  <c r="P432" i="1" s="1"/>
  <c r="Q432" i="1" s="1"/>
  <c r="M420" i="1"/>
  <c r="P420" i="1" s="1"/>
  <c r="Q420" i="1" s="1"/>
  <c r="M583" i="1"/>
  <c r="P583" i="1" s="1"/>
  <c r="Q583" i="1" s="1"/>
  <c r="M565" i="1"/>
  <c r="P565" i="1" s="1"/>
  <c r="Q565" i="1" s="1"/>
  <c r="M541" i="1"/>
  <c r="P541" i="1" s="1"/>
  <c r="Q541" i="1" s="1"/>
  <c r="M533" i="1"/>
  <c r="P533" i="1" s="1"/>
  <c r="Q533" i="1" s="1"/>
  <c r="M527" i="1"/>
  <c r="P527" i="1" s="1"/>
  <c r="Q527" i="1" s="1"/>
  <c r="M515" i="1"/>
  <c r="P515" i="1" s="1"/>
  <c r="Q515" i="1" s="1"/>
  <c r="M503" i="1"/>
  <c r="P503" i="1" s="1"/>
  <c r="Q503" i="1" s="1"/>
  <c r="M466" i="1"/>
  <c r="P466" i="1" s="1"/>
  <c r="Q466" i="1" s="1"/>
  <c r="M457" i="1"/>
  <c r="P457" i="1" s="1"/>
  <c r="Q457" i="1" s="1"/>
  <c r="M445" i="1"/>
  <c r="P445" i="1" s="1"/>
  <c r="Q445" i="1" s="1"/>
  <c r="M433" i="1"/>
  <c r="P433" i="1" s="1"/>
  <c r="Q433" i="1" s="1"/>
  <c r="M421" i="1"/>
  <c r="P421" i="1" s="1"/>
  <c r="Q421" i="1" s="1"/>
  <c r="M584" i="1"/>
  <c r="P584" i="1" s="1"/>
  <c r="Q584" i="1" s="1"/>
  <c r="M566" i="1"/>
  <c r="P566" i="1" s="1"/>
  <c r="Q566" i="1" s="1"/>
  <c r="M542" i="1"/>
  <c r="P542" i="1" s="1"/>
  <c r="Q542" i="1" s="1"/>
  <c r="M516" i="1"/>
  <c r="P516" i="1" s="1"/>
  <c r="Q516" i="1" s="1"/>
  <c r="M504" i="1"/>
  <c r="P504" i="1" s="1"/>
  <c r="Q504" i="1" s="1"/>
  <c r="M492" i="1"/>
  <c r="P492" i="1" s="1"/>
  <c r="Q492" i="1" s="1"/>
  <c r="M486" i="1"/>
  <c r="P486" i="1" s="1"/>
  <c r="Q486" i="1" s="1"/>
  <c r="M458" i="1"/>
  <c r="P458" i="1" s="1"/>
  <c r="Q458" i="1" s="1"/>
  <c r="M446" i="1"/>
  <c r="P446" i="1" s="1"/>
  <c r="Q446" i="1" s="1"/>
  <c r="M434" i="1"/>
  <c r="P434" i="1" s="1"/>
  <c r="Q434" i="1" s="1"/>
  <c r="M567" i="1"/>
  <c r="P567" i="1" s="1"/>
  <c r="Q567" i="1" s="1"/>
  <c r="M555" i="1"/>
  <c r="P555" i="1" s="1"/>
  <c r="Q555" i="1" s="1"/>
  <c r="M543" i="1"/>
  <c r="P543" i="1" s="1"/>
  <c r="Q543" i="1" s="1"/>
  <c r="M534" i="1"/>
  <c r="P534" i="1" s="1"/>
  <c r="Q534" i="1" s="1"/>
  <c r="M528" i="1"/>
  <c r="P528" i="1" s="1"/>
  <c r="Q528" i="1" s="1"/>
  <c r="M517" i="1"/>
  <c r="P517" i="1" s="1"/>
  <c r="Q517" i="1" s="1"/>
  <c r="M505" i="1"/>
  <c r="P505" i="1" s="1"/>
  <c r="Q505" i="1" s="1"/>
  <c r="M478" i="1"/>
  <c r="P478" i="1" s="1"/>
  <c r="Q478" i="1" s="1"/>
  <c r="M467" i="1"/>
  <c r="P467" i="1" s="1"/>
  <c r="Q467" i="1" s="1"/>
  <c r="M459" i="1"/>
  <c r="P459" i="1" s="1"/>
  <c r="Q459" i="1" s="1"/>
  <c r="M447" i="1"/>
  <c r="P447" i="1" s="1"/>
  <c r="Q447" i="1" s="1"/>
  <c r="M435" i="1"/>
  <c r="P435" i="1" s="1"/>
  <c r="Q435" i="1" s="1"/>
  <c r="M423" i="1"/>
  <c r="P423" i="1" s="1"/>
  <c r="Q423" i="1" s="1"/>
  <c r="M411" i="1"/>
  <c r="P411" i="1" s="1"/>
  <c r="Q411" i="1" s="1"/>
  <c r="M597" i="1"/>
  <c r="P597" i="1" s="1"/>
  <c r="Q597" i="1" s="1"/>
  <c r="M568" i="1"/>
  <c r="P568" i="1" s="1"/>
  <c r="Q568" i="1" s="1"/>
  <c r="M556" i="1"/>
  <c r="P556" i="1" s="1"/>
  <c r="Q556" i="1" s="1"/>
  <c r="M544" i="1"/>
  <c r="P544" i="1" s="1"/>
  <c r="Q544" i="1" s="1"/>
  <c r="M518" i="1"/>
  <c r="P518" i="1" s="1"/>
  <c r="Q518" i="1" s="1"/>
  <c r="M506" i="1"/>
  <c r="P506" i="1" s="1"/>
  <c r="Q506" i="1" s="1"/>
  <c r="M487" i="1"/>
  <c r="P487" i="1" s="1"/>
  <c r="Q487" i="1" s="1"/>
  <c r="M479" i="1"/>
  <c r="P479" i="1" s="1"/>
  <c r="Q479" i="1" s="1"/>
  <c r="M460" i="1"/>
  <c r="P460" i="1" s="1"/>
  <c r="Q460" i="1" s="1"/>
  <c r="M448" i="1"/>
  <c r="P448" i="1" s="1"/>
  <c r="Q448" i="1" s="1"/>
  <c r="M436" i="1"/>
  <c r="P436" i="1" s="1"/>
  <c r="Q436" i="1" s="1"/>
  <c r="M424" i="1"/>
  <c r="P424" i="1" s="1"/>
  <c r="Q424" i="1" s="1"/>
  <c r="M412" i="1"/>
  <c r="P412" i="1" s="1"/>
  <c r="Q412" i="1" s="1"/>
  <c r="M587" i="1"/>
  <c r="P587" i="1" s="1"/>
  <c r="Q587" i="1" s="1"/>
  <c r="M569" i="1"/>
  <c r="P569" i="1" s="1"/>
  <c r="Q569" i="1" s="1"/>
  <c r="M557" i="1"/>
  <c r="P557" i="1" s="1"/>
  <c r="Q557" i="1" s="1"/>
  <c r="M545" i="1"/>
  <c r="P545" i="1" s="1"/>
  <c r="Q545" i="1" s="1"/>
  <c r="M535" i="1"/>
  <c r="P535" i="1" s="1"/>
  <c r="Q535" i="1" s="1"/>
  <c r="M529" i="1"/>
  <c r="P529" i="1" s="1"/>
  <c r="Q529" i="1" s="1"/>
  <c r="M519" i="1"/>
  <c r="P519" i="1" s="1"/>
  <c r="Q519" i="1" s="1"/>
  <c r="M507" i="1"/>
  <c r="P507" i="1" s="1"/>
  <c r="Q507" i="1" s="1"/>
  <c r="M495" i="1"/>
  <c r="P495" i="1" s="1"/>
  <c r="Q495" i="1" s="1"/>
  <c r="M468" i="1"/>
  <c r="P468" i="1" s="1"/>
  <c r="Q468" i="1" s="1"/>
  <c r="M461" i="1"/>
  <c r="P461" i="1" s="1"/>
  <c r="Q461" i="1" s="1"/>
  <c r="M449" i="1"/>
  <c r="P449" i="1" s="1"/>
  <c r="Q449" i="1" s="1"/>
  <c r="M437" i="1"/>
  <c r="P437" i="1" s="1"/>
  <c r="Q437" i="1" s="1"/>
  <c r="M425" i="1"/>
  <c r="P425" i="1" s="1"/>
  <c r="Q425" i="1" s="1"/>
  <c r="M413" i="1"/>
  <c r="P413" i="1" s="1"/>
  <c r="Q413" i="1" s="1"/>
  <c r="M404" i="1"/>
  <c r="P404" i="1" s="1"/>
  <c r="Q404" i="1" s="1"/>
  <c r="M588" i="1"/>
  <c r="P588" i="1" s="1"/>
  <c r="Q588" i="1" s="1"/>
  <c r="M570" i="1"/>
  <c r="P570" i="1" s="1"/>
  <c r="Q570" i="1" s="1"/>
  <c r="M558" i="1"/>
  <c r="P558" i="1" s="1"/>
  <c r="Q558" i="1" s="1"/>
  <c r="M546" i="1"/>
  <c r="P546" i="1" s="1"/>
  <c r="Q546" i="1" s="1"/>
  <c r="M520" i="1"/>
  <c r="P520" i="1" s="1"/>
  <c r="Q520" i="1" s="1"/>
  <c r="M508" i="1"/>
  <c r="P508" i="1" s="1"/>
  <c r="Q508" i="1" s="1"/>
  <c r="M496" i="1"/>
  <c r="P496" i="1" s="1"/>
  <c r="Q496" i="1" s="1"/>
  <c r="M488" i="1"/>
  <c r="P488" i="1" s="1"/>
  <c r="Q488" i="1" s="1"/>
  <c r="M482" i="1"/>
  <c r="P482" i="1" s="1"/>
  <c r="Q482" i="1" s="1"/>
  <c r="M462" i="1"/>
  <c r="P462" i="1" s="1"/>
  <c r="Q462" i="1" s="1"/>
  <c r="M450" i="1"/>
  <c r="P450" i="1" s="1"/>
  <c r="Q450" i="1" s="1"/>
  <c r="M438" i="1"/>
  <c r="P438" i="1" s="1"/>
  <c r="Q438" i="1" s="1"/>
  <c r="M426" i="1"/>
  <c r="P426" i="1" s="1"/>
  <c r="Q426" i="1" s="1"/>
  <c r="M414" i="1"/>
  <c r="P414" i="1" s="1"/>
  <c r="Q414" i="1" s="1"/>
  <c r="M589" i="1"/>
  <c r="P589" i="1" s="1"/>
  <c r="Q589" i="1" s="1"/>
  <c r="M571" i="1"/>
  <c r="P571" i="1" s="1"/>
  <c r="Q571" i="1" s="1"/>
  <c r="M559" i="1"/>
  <c r="P559" i="1" s="1"/>
  <c r="Q559" i="1" s="1"/>
  <c r="M547" i="1"/>
  <c r="P547" i="1" s="1"/>
  <c r="Q547" i="1" s="1"/>
  <c r="M536" i="1"/>
  <c r="P536" i="1" s="1"/>
  <c r="Q536" i="1" s="1"/>
  <c r="M530" i="1"/>
  <c r="P530" i="1" s="1"/>
  <c r="Q530" i="1" s="1"/>
  <c r="M521" i="1"/>
  <c r="P521" i="1" s="1"/>
  <c r="Q521" i="1" s="1"/>
  <c r="M509" i="1"/>
  <c r="P509" i="1" s="1"/>
  <c r="Q509" i="1" s="1"/>
  <c r="M497" i="1"/>
  <c r="P497" i="1" s="1"/>
  <c r="Q497" i="1" s="1"/>
  <c r="M451" i="1"/>
  <c r="P451" i="1" s="1"/>
  <c r="Q451" i="1" s="1"/>
  <c r="M439" i="1"/>
  <c r="P439" i="1" s="1"/>
  <c r="Q439" i="1" s="1"/>
  <c r="M427" i="1"/>
  <c r="P427" i="1" s="1"/>
  <c r="Q427" i="1" s="1"/>
  <c r="M415" i="1"/>
  <c r="P415" i="1" s="1"/>
  <c r="Q415" i="1" s="1"/>
  <c r="M405" i="1"/>
  <c r="P405" i="1" s="1"/>
  <c r="Q405" i="1" s="1"/>
  <c r="M399" i="1"/>
  <c r="P399" i="1" s="1"/>
  <c r="Q399" i="1" s="1"/>
  <c r="M393" i="1"/>
  <c r="P393" i="1" s="1"/>
  <c r="Q393" i="1" s="1"/>
  <c r="M590" i="1"/>
  <c r="P590" i="1" s="1"/>
  <c r="Q590" i="1" s="1"/>
  <c r="M572" i="1"/>
  <c r="P572" i="1" s="1"/>
  <c r="Q572" i="1" s="1"/>
  <c r="M560" i="1"/>
  <c r="P560" i="1" s="1"/>
  <c r="Q560" i="1" s="1"/>
  <c r="M522" i="1"/>
  <c r="P522" i="1" s="1"/>
  <c r="Q522" i="1" s="1"/>
  <c r="M510" i="1"/>
  <c r="P510" i="1" s="1"/>
  <c r="Q510" i="1" s="1"/>
  <c r="M498" i="1"/>
  <c r="P498" i="1" s="1"/>
  <c r="Q498" i="1" s="1"/>
  <c r="M489" i="1"/>
  <c r="P489" i="1" s="1"/>
  <c r="Q489" i="1" s="1"/>
  <c r="M483" i="1"/>
  <c r="P483" i="1" s="1"/>
  <c r="Q483" i="1" s="1"/>
  <c r="M471" i="1"/>
  <c r="P471" i="1" s="1"/>
  <c r="Q471" i="1" s="1"/>
  <c r="M452" i="1"/>
  <c r="P452" i="1" s="1"/>
  <c r="Q452" i="1" s="1"/>
  <c r="M440" i="1"/>
  <c r="P440" i="1" s="1"/>
  <c r="Q440" i="1" s="1"/>
  <c r="M428" i="1"/>
  <c r="P428" i="1" s="1"/>
  <c r="Q428" i="1" s="1"/>
  <c r="M416" i="1"/>
  <c r="P416" i="1" s="1"/>
  <c r="Q416" i="1" s="1"/>
  <c r="M591" i="1"/>
  <c r="P591" i="1" s="1"/>
  <c r="Q591" i="1" s="1"/>
  <c r="M573" i="1"/>
  <c r="P573" i="1" s="1"/>
  <c r="Q573" i="1" s="1"/>
  <c r="M561" i="1"/>
  <c r="P561" i="1" s="1"/>
  <c r="Q561" i="1" s="1"/>
  <c r="M537" i="1"/>
  <c r="P537" i="1" s="1"/>
  <c r="Q537" i="1" s="1"/>
  <c r="M531" i="1"/>
  <c r="P531" i="1" s="1"/>
  <c r="Q531" i="1" s="1"/>
  <c r="M523" i="1"/>
  <c r="P523" i="1" s="1"/>
  <c r="Q523" i="1" s="1"/>
  <c r="M511" i="1"/>
  <c r="P511" i="1" s="1"/>
  <c r="Q511" i="1" s="1"/>
  <c r="M499" i="1"/>
  <c r="P499" i="1" s="1"/>
  <c r="Q499" i="1" s="1"/>
  <c r="M472" i="1"/>
  <c r="P472" i="1" s="1"/>
  <c r="Q472" i="1" s="1"/>
  <c r="M453" i="1"/>
  <c r="P453" i="1" s="1"/>
  <c r="Q453" i="1" s="1"/>
  <c r="M441" i="1"/>
  <c r="P441" i="1" s="1"/>
  <c r="Q441" i="1" s="1"/>
  <c r="M500" i="1"/>
  <c r="P500" i="1" s="1"/>
  <c r="Q500" i="1" s="1"/>
  <c r="M473" i="1"/>
  <c r="P473" i="1" s="1"/>
  <c r="Q473" i="1" s="1"/>
  <c r="M454" i="1"/>
  <c r="P454" i="1" s="1"/>
  <c r="Q454" i="1" s="1"/>
  <c r="M429" i="1"/>
  <c r="P429" i="1" s="1"/>
  <c r="Q429" i="1" s="1"/>
  <c r="M422" i="1"/>
  <c r="P422" i="1" s="1"/>
  <c r="Q422" i="1" s="1"/>
  <c r="M417" i="1"/>
  <c r="P417" i="1" s="1"/>
  <c r="Q417" i="1" s="1"/>
  <c r="M402" i="1"/>
  <c r="P402" i="1" s="1"/>
  <c r="Q402" i="1" s="1"/>
  <c r="M562" i="1"/>
  <c r="P562" i="1" s="1"/>
  <c r="Q562" i="1" s="1"/>
  <c r="M395" i="1"/>
  <c r="P395" i="1" s="1"/>
  <c r="Q395" i="1" s="1"/>
  <c r="M442" i="1"/>
  <c r="P442" i="1" s="1"/>
  <c r="Q442" i="1" s="1"/>
  <c r="M410" i="1"/>
  <c r="P410" i="1" s="1"/>
  <c r="Q410" i="1" s="1"/>
  <c r="M396" i="1"/>
  <c r="P396" i="1" s="1"/>
  <c r="Q396" i="1" s="1"/>
  <c r="M574" i="1"/>
  <c r="P574" i="1" s="1"/>
  <c r="Q574" i="1" s="1"/>
  <c r="M406" i="1"/>
  <c r="P406" i="1" s="1"/>
  <c r="Q406" i="1" s="1"/>
  <c r="M403" i="1"/>
  <c r="P403" i="1" s="1"/>
  <c r="Q403" i="1" s="1"/>
  <c r="M400" i="1"/>
  <c r="P400" i="1" s="1"/>
  <c r="Q400" i="1" s="1"/>
  <c r="M392" i="1"/>
  <c r="P392" i="1" s="1"/>
  <c r="M418" i="1"/>
  <c r="P418" i="1" s="1"/>
  <c r="Q418" i="1" s="1"/>
  <c r="M397" i="1"/>
  <c r="P397" i="1" s="1"/>
  <c r="Q397" i="1" s="1"/>
  <c r="M490" i="1"/>
  <c r="P490" i="1" s="1"/>
  <c r="Q490" i="1" s="1"/>
  <c r="M550" i="1"/>
  <c r="P550" i="1" s="1"/>
  <c r="Q550" i="1" s="1"/>
  <c r="M484" i="1"/>
  <c r="P484" i="1" s="1"/>
  <c r="Q484" i="1" s="1"/>
  <c r="M394" i="1"/>
  <c r="P394" i="1" s="1"/>
  <c r="Q394" i="1" s="1"/>
  <c r="M398" i="1"/>
  <c r="P398" i="1" s="1"/>
  <c r="Q398" i="1" s="1"/>
  <c r="M512" i="1"/>
  <c r="P512" i="1" s="1"/>
  <c r="Q512" i="1" s="1"/>
  <c r="M381" i="1"/>
  <c r="P381" i="1" s="1"/>
  <c r="Q381" i="1" s="1"/>
  <c r="M374" i="1"/>
  <c r="P374" i="1" s="1"/>
  <c r="Q374" i="1" s="1"/>
  <c r="M379" i="1"/>
  <c r="P379" i="1" s="1"/>
  <c r="Q379" i="1" s="1"/>
  <c r="M382" i="1"/>
  <c r="P382" i="1" s="1"/>
  <c r="Q382" i="1" s="1"/>
  <c r="M373" i="1"/>
  <c r="P373" i="1" s="1"/>
  <c r="Q373" i="1" s="1"/>
  <c r="M375" i="1"/>
  <c r="P375" i="1" s="1"/>
  <c r="Q375" i="1" s="1"/>
  <c r="M383" i="1"/>
  <c r="P383" i="1" s="1"/>
  <c r="Q383" i="1" s="1"/>
  <c r="M384" i="1"/>
  <c r="P384" i="1" s="1"/>
  <c r="Q384" i="1" s="1"/>
  <c r="M385" i="1"/>
  <c r="P385" i="1" s="1"/>
  <c r="Q385" i="1" s="1"/>
  <c r="M386" i="1"/>
  <c r="P386" i="1" s="1"/>
  <c r="Q386" i="1" s="1"/>
  <c r="M380" i="1"/>
  <c r="P380" i="1" s="1"/>
  <c r="Q380" i="1" s="1"/>
  <c r="M372" i="1"/>
  <c r="P372" i="1" s="1"/>
  <c r="M376" i="1"/>
  <c r="P376" i="1" s="1"/>
  <c r="Q376" i="1" s="1"/>
  <c r="M54" i="1"/>
  <c r="P54" i="1" s="1"/>
  <c r="Q54" i="1" s="1"/>
  <c r="M109" i="1"/>
  <c r="P109" i="1" s="1"/>
  <c r="Q109" i="1" s="1"/>
  <c r="M37" i="1"/>
  <c r="P37" i="1" s="1"/>
  <c r="Q37" i="1" s="1"/>
  <c r="M38" i="1"/>
  <c r="P38" i="1" s="1"/>
  <c r="Q38" i="1" s="1"/>
  <c r="M39" i="1"/>
  <c r="P39" i="1" s="1"/>
  <c r="Q39" i="1" s="1"/>
  <c r="M52" i="1"/>
  <c r="P52" i="1" s="1"/>
  <c r="Q52" i="1" s="1"/>
  <c r="M257" i="1"/>
  <c r="P257" i="1" s="1"/>
  <c r="Q257" i="1" s="1"/>
  <c r="M270" i="1"/>
  <c r="P270" i="1" s="1"/>
  <c r="Q270" i="1" s="1"/>
  <c r="M269" i="1"/>
  <c r="P269" i="1" s="1"/>
  <c r="Q269" i="1" s="1"/>
  <c r="M271" i="1"/>
  <c r="P271" i="1" s="1"/>
  <c r="Q271" i="1" s="1"/>
  <c r="M128" i="1"/>
  <c r="P128" i="1" s="1"/>
  <c r="Q128" i="1" s="1"/>
  <c r="M132" i="1"/>
  <c r="P132" i="1" s="1"/>
  <c r="Q132" i="1" s="1"/>
  <c r="M234" i="1"/>
  <c r="P234" i="1" s="1"/>
  <c r="Q234" i="1" s="1"/>
  <c r="M266" i="1"/>
  <c r="P266" i="1" s="1"/>
  <c r="Q266" i="1" s="1"/>
  <c r="M267" i="1"/>
  <c r="P267" i="1" s="1"/>
  <c r="Q267" i="1" s="1"/>
  <c r="M280" i="1"/>
  <c r="P280" i="1" s="1"/>
  <c r="Q280" i="1" s="1"/>
  <c r="M292" i="1"/>
  <c r="P292" i="1" s="1"/>
  <c r="Q292" i="1" s="1"/>
  <c r="M281" i="1"/>
  <c r="P281" i="1" s="1"/>
  <c r="Q281" i="1" s="1"/>
  <c r="M275" i="1"/>
  <c r="P275" i="1" s="1"/>
  <c r="Q275" i="1" s="1"/>
  <c r="M291" i="1"/>
  <c r="P291" i="1" s="1"/>
  <c r="Q291" i="1" s="1"/>
  <c r="M279" i="1"/>
  <c r="P279" i="1" s="1"/>
  <c r="Q279" i="1" s="1"/>
  <c r="M278" i="1"/>
  <c r="P278" i="1" s="1"/>
  <c r="Q278" i="1" s="1"/>
  <c r="M277" i="1"/>
  <c r="P277" i="1" s="1"/>
  <c r="Q277" i="1" s="1"/>
  <c r="M119" i="1"/>
  <c r="P119" i="1" s="1"/>
  <c r="Q119" i="1" s="1"/>
  <c r="M19" i="1"/>
  <c r="P19" i="1" s="1"/>
  <c r="Q19" i="1" s="1"/>
  <c r="M126" i="1"/>
  <c r="P126" i="1" s="1"/>
  <c r="Q126" i="1" s="1"/>
  <c r="M289" i="1"/>
  <c r="P289" i="1" s="1"/>
  <c r="Q289" i="1" s="1"/>
  <c r="M264" i="1"/>
  <c r="P264" i="1" s="1"/>
  <c r="Q264" i="1" s="1"/>
  <c r="M124" i="1"/>
  <c r="P124" i="1" s="1"/>
  <c r="Q124" i="1" s="1"/>
  <c r="M116" i="1"/>
  <c r="P116" i="1" s="1"/>
  <c r="Q116" i="1" s="1"/>
  <c r="M131" i="1"/>
  <c r="P131" i="1" s="1"/>
  <c r="Q131" i="1" s="1"/>
  <c r="M121" i="1"/>
  <c r="P121" i="1" s="1"/>
  <c r="Q121" i="1" s="1"/>
  <c r="M123" i="1"/>
  <c r="P123" i="1" s="1"/>
  <c r="Q123" i="1" s="1"/>
  <c r="M288" i="1"/>
  <c r="P288" i="1" s="1"/>
  <c r="Q288" i="1" s="1"/>
  <c r="M120" i="1"/>
  <c r="P120" i="1" s="1"/>
  <c r="Q120" i="1" s="1"/>
  <c r="M290" i="1"/>
  <c r="P290" i="1" s="1"/>
  <c r="Q290" i="1" s="1"/>
  <c r="M122" i="1"/>
  <c r="P122" i="1" s="1"/>
  <c r="Q122" i="1" s="1"/>
  <c r="M167" i="1"/>
  <c r="P167" i="1" s="1"/>
  <c r="Q167" i="1" s="1"/>
  <c r="M296" i="1"/>
  <c r="P296" i="1" s="1"/>
  <c r="Q296" i="1" s="1"/>
  <c r="M100" i="1"/>
  <c r="P100" i="1" s="1"/>
  <c r="Q100" i="1" s="1"/>
  <c r="M154" i="1"/>
  <c r="P154" i="1" s="1"/>
  <c r="Q154" i="1" s="1"/>
  <c r="M99" i="1"/>
  <c r="P99" i="1" s="1"/>
  <c r="M130" i="1"/>
  <c r="P130" i="1" s="1"/>
  <c r="Q130" i="1" s="1"/>
  <c r="M158" i="1"/>
  <c r="P158" i="1" s="1"/>
  <c r="Q158" i="1" s="1"/>
  <c r="M166" i="1"/>
  <c r="P166" i="1" s="1"/>
  <c r="Q166" i="1" s="1"/>
  <c r="M161" i="1"/>
  <c r="P161" i="1" s="1"/>
  <c r="Q161" i="1" s="1"/>
  <c r="M159" i="1"/>
  <c r="P159" i="1" s="1"/>
  <c r="Q159" i="1" s="1"/>
  <c r="M165" i="1"/>
  <c r="P165" i="1" s="1"/>
  <c r="Q165" i="1" s="1"/>
  <c r="M163" i="1"/>
  <c r="P163" i="1" s="1"/>
  <c r="Q163" i="1" s="1"/>
  <c r="M157" i="1"/>
  <c r="P157" i="1" s="1"/>
  <c r="Q157" i="1" s="1"/>
  <c r="M160" i="1"/>
  <c r="P160" i="1" s="1"/>
  <c r="Q160" i="1" s="1"/>
  <c r="M162" i="1"/>
  <c r="P162" i="1" s="1"/>
  <c r="Q162" i="1" s="1"/>
  <c r="M164" i="1"/>
  <c r="P164" i="1" s="1"/>
  <c r="Q164" i="1" s="1"/>
  <c r="M312" i="1"/>
  <c r="P312" i="1" s="1"/>
  <c r="Q312" i="1" s="1"/>
  <c r="M304" i="1"/>
  <c r="P304" i="1" s="1"/>
  <c r="Q304" i="1" s="1"/>
  <c r="M303" i="1"/>
  <c r="P303" i="1" s="1"/>
  <c r="Q303" i="1" s="1"/>
  <c r="M309" i="1"/>
  <c r="P309" i="1" s="1"/>
  <c r="Q309" i="1" s="1"/>
  <c r="M307" i="1"/>
  <c r="P307" i="1" s="1"/>
  <c r="Q307" i="1" s="1"/>
  <c r="M305" i="1"/>
  <c r="P305" i="1" s="1"/>
  <c r="Q305" i="1" s="1"/>
  <c r="M311" i="1"/>
  <c r="P311" i="1" s="1"/>
  <c r="Q311" i="1" s="1"/>
  <c r="M308" i="1"/>
  <c r="P308" i="1" s="1"/>
  <c r="Q308" i="1" s="1"/>
  <c r="M310" i="1"/>
  <c r="P310" i="1" s="1"/>
  <c r="Q310" i="1" s="1"/>
  <c r="M306" i="1"/>
  <c r="P306" i="1" s="1"/>
  <c r="Q306" i="1" s="1"/>
  <c r="M152" i="1"/>
  <c r="P152" i="1" s="1"/>
  <c r="Q152" i="1" s="1"/>
  <c r="M302" i="1"/>
  <c r="P302" i="1" s="1"/>
  <c r="Q302" i="1" s="1"/>
  <c r="M301" i="1"/>
  <c r="P301" i="1" s="1"/>
  <c r="Q301" i="1" s="1"/>
  <c r="M151" i="1"/>
  <c r="P151" i="1" s="1"/>
  <c r="Q151" i="1" s="1"/>
  <c r="M150" i="1"/>
  <c r="P150" i="1" s="1"/>
  <c r="Q150" i="1" s="1"/>
  <c r="M149" i="1"/>
  <c r="P149" i="1" s="1"/>
  <c r="Q149" i="1" s="1"/>
  <c r="M142" i="1"/>
  <c r="P142" i="1" s="1"/>
  <c r="Q142" i="1" s="1"/>
  <c r="M144" i="1"/>
  <c r="P144" i="1" s="1"/>
  <c r="Q144" i="1" s="1"/>
  <c r="M143" i="1"/>
  <c r="P143" i="1" s="1"/>
  <c r="Q143" i="1" s="1"/>
  <c r="M138" i="1"/>
  <c r="P138" i="1" s="1"/>
  <c r="Q138" i="1" s="1"/>
  <c r="M147" i="1"/>
  <c r="P147" i="1" s="1"/>
  <c r="Q147" i="1" s="1"/>
  <c r="M146" i="1"/>
  <c r="P146" i="1" s="1"/>
  <c r="Q146" i="1" s="1"/>
  <c r="M137" i="1"/>
  <c r="P137" i="1" s="1"/>
  <c r="Q137" i="1" s="1"/>
  <c r="M148" i="1"/>
  <c r="P148" i="1" s="1"/>
  <c r="Q148" i="1" s="1"/>
  <c r="M139" i="1"/>
  <c r="P139" i="1" s="1"/>
  <c r="Q139" i="1" s="1"/>
  <c r="M356" i="1"/>
  <c r="P356" i="1" s="1"/>
  <c r="Q356" i="1" s="1"/>
  <c r="M361" i="1"/>
  <c r="P361" i="1" s="1"/>
  <c r="Q361" i="1" s="1"/>
  <c r="M360" i="1"/>
  <c r="P360" i="1" s="1"/>
  <c r="Q360" i="1" s="1"/>
  <c r="M359" i="1"/>
  <c r="P359" i="1" s="1"/>
  <c r="Q359" i="1" s="1"/>
  <c r="M111" i="1"/>
  <c r="P111" i="1" s="1"/>
  <c r="Q111" i="1" s="1"/>
  <c r="M141" i="1"/>
  <c r="P141" i="1" s="1"/>
  <c r="Q141" i="1" s="1"/>
  <c r="M102" i="1"/>
  <c r="P102" i="1" s="1"/>
  <c r="M285" i="1"/>
  <c r="P285" i="1" s="1"/>
  <c r="Q285" i="1" s="1"/>
  <c r="M367" i="1"/>
  <c r="P367" i="1" s="1"/>
  <c r="Q367" i="1" s="1"/>
  <c r="M358" i="1"/>
  <c r="P358" i="1" s="1"/>
  <c r="Q358" i="1" s="1"/>
  <c r="M339" i="1"/>
  <c r="P339" i="1" s="1"/>
  <c r="Q339" i="1" s="1"/>
  <c r="M185" i="1"/>
  <c r="P185" i="1" s="1"/>
  <c r="Q185" i="1" s="1"/>
  <c r="M330" i="1"/>
  <c r="P330" i="1" s="1"/>
  <c r="Q330" i="1" s="1"/>
  <c r="M169" i="1"/>
  <c r="P169" i="1" s="1"/>
  <c r="Q169" i="1" s="1"/>
  <c r="M357" i="1"/>
  <c r="P357" i="1" s="1"/>
  <c r="Q357" i="1" s="1"/>
  <c r="M259" i="1"/>
  <c r="P259" i="1" s="1"/>
  <c r="Q259" i="1" s="1"/>
  <c r="M355" i="1"/>
  <c r="P355" i="1" s="1"/>
  <c r="Q355" i="1" s="1"/>
  <c r="M258" i="1"/>
  <c r="P258" i="1" s="1"/>
  <c r="Q258" i="1" s="1"/>
  <c r="M348" i="1"/>
  <c r="P348" i="1" s="1"/>
  <c r="Q348" i="1" s="1"/>
  <c r="M329" i="1"/>
  <c r="P329" i="1" s="1"/>
  <c r="Q329" i="1" s="1"/>
  <c r="M344" i="1"/>
  <c r="P344" i="1" s="1"/>
  <c r="Q344" i="1" s="1"/>
  <c r="M335" i="1"/>
  <c r="P335" i="1" s="1"/>
  <c r="Q335" i="1" s="1"/>
  <c r="M332" i="1"/>
  <c r="P332" i="1" s="1"/>
  <c r="Q332" i="1" s="1"/>
  <c r="M364" i="1"/>
  <c r="P364" i="1" s="1"/>
  <c r="Q364" i="1" s="1"/>
  <c r="M156" i="1"/>
  <c r="P156" i="1" s="1"/>
  <c r="M334" i="1"/>
  <c r="P334" i="1" s="1"/>
  <c r="Q334" i="1" s="1"/>
  <c r="M365" i="1"/>
  <c r="P365" i="1" s="1"/>
  <c r="Q365" i="1" s="1"/>
  <c r="M363" i="1"/>
  <c r="P363" i="1" s="1"/>
  <c r="Q363" i="1" s="1"/>
  <c r="M108" i="1"/>
  <c r="P108" i="1" s="1"/>
  <c r="M353" i="1"/>
  <c r="P353" i="1" s="1"/>
  <c r="Q353" i="1" s="1"/>
  <c r="M326" i="1"/>
  <c r="P326" i="1" s="1"/>
  <c r="Q326" i="1" s="1"/>
  <c r="M324" i="1"/>
  <c r="P324" i="1" s="1"/>
  <c r="Q324" i="1" s="1"/>
  <c r="M322" i="1"/>
  <c r="P322" i="1" s="1"/>
  <c r="Q322" i="1" s="1"/>
  <c r="M317" i="1"/>
  <c r="P317" i="1" s="1"/>
  <c r="Q317" i="1" s="1"/>
  <c r="M318" i="1"/>
  <c r="P318" i="1" s="1"/>
  <c r="Q318" i="1" s="1"/>
  <c r="M328" i="1"/>
  <c r="P328" i="1" s="1"/>
  <c r="Q328" i="1" s="1"/>
  <c r="M352" i="1"/>
  <c r="P352" i="1" s="1"/>
  <c r="Q352" i="1" s="1"/>
  <c r="M320" i="1"/>
  <c r="P320" i="1" s="1"/>
  <c r="Q320" i="1" s="1"/>
  <c r="M354" i="1"/>
  <c r="P354" i="1" s="1"/>
  <c r="Q354" i="1" s="1"/>
  <c r="M321" i="1"/>
  <c r="P321" i="1" s="1"/>
  <c r="Q321" i="1" s="1"/>
  <c r="M325" i="1"/>
  <c r="P325" i="1" s="1"/>
  <c r="Q325" i="1" s="1"/>
  <c r="M323" i="1"/>
  <c r="P323" i="1" s="1"/>
  <c r="Q323" i="1" s="1"/>
  <c r="M327" i="1"/>
  <c r="P327" i="1" s="1"/>
  <c r="Q327" i="1" s="1"/>
  <c r="M319" i="1"/>
  <c r="P319" i="1" s="1"/>
  <c r="Q319" i="1" s="1"/>
  <c r="M299" i="1"/>
  <c r="P299" i="1" s="1"/>
  <c r="Q299" i="1" s="1"/>
  <c r="M342" i="1"/>
  <c r="P342" i="1" s="1"/>
  <c r="Q342" i="1" s="1"/>
  <c r="M298" i="1"/>
  <c r="P298" i="1" s="1"/>
  <c r="Q298" i="1" s="1"/>
  <c r="M341" i="1"/>
  <c r="P341" i="1" s="1"/>
  <c r="M273" i="1"/>
  <c r="P273" i="1" s="1"/>
  <c r="Q273" i="1" s="1"/>
  <c r="M315" i="1"/>
  <c r="P315" i="1" s="1"/>
  <c r="Q315" i="1" s="1"/>
  <c r="M314" i="1"/>
  <c r="P314" i="1" s="1"/>
  <c r="M350" i="1"/>
  <c r="P350" i="1" s="1"/>
  <c r="M351" i="1"/>
  <c r="P351" i="1" s="1"/>
  <c r="Q351" i="1" s="1"/>
  <c r="M254" i="1"/>
  <c r="P254" i="1" s="1"/>
  <c r="Q254" i="1" s="1"/>
  <c r="M255" i="1"/>
  <c r="P255" i="1" s="1"/>
  <c r="Q255" i="1" s="1"/>
  <c r="M253" i="1"/>
  <c r="P253" i="1" s="1"/>
  <c r="Q253" i="1" s="1"/>
  <c r="M256" i="1"/>
  <c r="P256" i="1" s="1"/>
  <c r="Q256" i="1" s="1"/>
  <c r="M249" i="1"/>
  <c r="P249" i="1" s="1"/>
  <c r="Q249" i="1" s="1"/>
  <c r="M252" i="1"/>
  <c r="P252" i="1" s="1"/>
  <c r="Q252" i="1" s="1"/>
  <c r="M251" i="1"/>
  <c r="P251" i="1" s="1"/>
  <c r="Q251" i="1" s="1"/>
  <c r="M250" i="1"/>
  <c r="P250" i="1" s="1"/>
  <c r="Q250" i="1" s="1"/>
  <c r="M287" i="1"/>
  <c r="P287" i="1" s="1"/>
  <c r="Q287" i="1" s="1"/>
  <c r="M59" i="1"/>
  <c r="P59" i="1" s="1"/>
  <c r="N61" i="1" s="1"/>
  <c r="E8" i="2" s="1"/>
  <c r="M240" i="1"/>
  <c r="P240" i="1" s="1"/>
  <c r="Q240" i="1" s="1"/>
  <c r="M213" i="1"/>
  <c r="P213" i="1" s="1"/>
  <c r="Q213" i="1" s="1"/>
  <c r="M202" i="1"/>
  <c r="P202" i="1" s="1"/>
  <c r="Q202" i="1" s="1"/>
  <c r="M177" i="1"/>
  <c r="P177" i="1" s="1"/>
  <c r="Q177" i="1" s="1"/>
  <c r="M235" i="1"/>
  <c r="P235" i="1" s="1"/>
  <c r="Q235" i="1" s="1"/>
  <c r="M246" i="1"/>
  <c r="P246" i="1" s="1"/>
  <c r="Q246" i="1" s="1"/>
  <c r="M228" i="1"/>
  <c r="P228" i="1" s="1"/>
  <c r="Q228" i="1" s="1"/>
  <c r="M215" i="1"/>
  <c r="P215" i="1" s="1"/>
  <c r="Q215" i="1" s="1"/>
  <c r="M204" i="1"/>
  <c r="P204" i="1" s="1"/>
  <c r="Q204" i="1" s="1"/>
  <c r="M197" i="1"/>
  <c r="P197" i="1" s="1"/>
  <c r="Q197" i="1" s="1"/>
  <c r="M179" i="1"/>
  <c r="P179" i="1" s="1"/>
  <c r="Q179" i="1" s="1"/>
  <c r="M244" i="1"/>
  <c r="P244" i="1" s="1"/>
  <c r="Q244" i="1" s="1"/>
  <c r="M232" i="1"/>
  <c r="P232" i="1" s="1"/>
  <c r="Q232" i="1" s="1"/>
  <c r="M226" i="1"/>
  <c r="P226" i="1" s="1"/>
  <c r="Q226" i="1" s="1"/>
  <c r="M199" i="1"/>
  <c r="P199" i="1" s="1"/>
  <c r="Q199" i="1" s="1"/>
  <c r="M188" i="1"/>
  <c r="P188" i="1" s="1"/>
  <c r="Q188" i="1" s="1"/>
  <c r="M186" i="1"/>
  <c r="P186" i="1" s="1"/>
  <c r="Q186" i="1" s="1"/>
  <c r="M210" i="1"/>
  <c r="P210" i="1" s="1"/>
  <c r="Q210" i="1" s="1"/>
  <c r="M208" i="1"/>
  <c r="P208" i="1" s="1"/>
  <c r="Q208" i="1" s="1"/>
  <c r="M217" i="1"/>
  <c r="P217" i="1" s="1"/>
  <c r="Q217" i="1" s="1"/>
  <c r="M183" i="1"/>
  <c r="P183" i="1" s="1"/>
  <c r="Q183" i="1" s="1"/>
  <c r="M192" i="1"/>
  <c r="P192" i="1" s="1"/>
  <c r="Q192" i="1" s="1"/>
  <c r="M222" i="1"/>
  <c r="P222" i="1" s="1"/>
  <c r="Q222" i="1" s="1"/>
  <c r="M245" i="1"/>
  <c r="P245" i="1" s="1"/>
  <c r="Q245" i="1" s="1"/>
  <c r="M220" i="1"/>
  <c r="P220" i="1" s="1"/>
  <c r="Q220" i="1" s="1"/>
  <c r="M190" i="1"/>
  <c r="P190" i="1" s="1"/>
  <c r="Q190" i="1" s="1"/>
  <c r="M239" i="1"/>
  <c r="P239" i="1" s="1"/>
  <c r="Q239" i="1" s="1"/>
  <c r="M201" i="1"/>
  <c r="P201" i="1" s="1"/>
  <c r="Q201" i="1" s="1"/>
  <c r="M229" i="1"/>
  <c r="P229" i="1" s="1"/>
  <c r="Q229" i="1" s="1"/>
  <c r="M243" i="1"/>
  <c r="P243" i="1" s="1"/>
  <c r="Q243" i="1" s="1"/>
  <c r="M196" i="1"/>
  <c r="P196" i="1" s="1"/>
  <c r="Q196" i="1" s="1"/>
  <c r="M176" i="1"/>
  <c r="P176" i="1" s="1"/>
  <c r="Q176" i="1" s="1"/>
  <c r="M193" i="1"/>
  <c r="P193" i="1" s="1"/>
  <c r="Q193" i="1" s="1"/>
  <c r="M238" i="1"/>
  <c r="P238" i="1" s="1"/>
  <c r="Q238" i="1" s="1"/>
  <c r="M241" i="1"/>
  <c r="P241" i="1" s="1"/>
  <c r="Q241" i="1" s="1"/>
  <c r="M236" i="1"/>
  <c r="P236" i="1" s="1"/>
  <c r="Q236" i="1" s="1"/>
  <c r="M233" i="1"/>
  <c r="P233" i="1" s="1"/>
  <c r="Q233" i="1" s="1"/>
  <c r="M214" i="1"/>
  <c r="P214" i="1" s="1"/>
  <c r="Q214" i="1" s="1"/>
  <c r="M203" i="1"/>
  <c r="P203" i="1" s="1"/>
  <c r="Q203" i="1" s="1"/>
  <c r="M198" i="1"/>
  <c r="P198" i="1" s="1"/>
  <c r="Q198" i="1" s="1"/>
  <c r="M178" i="1"/>
  <c r="P178" i="1" s="1"/>
  <c r="Q178" i="1" s="1"/>
  <c r="M227" i="1"/>
  <c r="P227" i="1" s="1"/>
  <c r="Q227" i="1" s="1"/>
  <c r="M216" i="1"/>
  <c r="P216" i="1" s="1"/>
  <c r="Q216" i="1" s="1"/>
  <c r="M205" i="1"/>
  <c r="P205" i="1" s="1"/>
  <c r="Q205" i="1" s="1"/>
  <c r="M187" i="1"/>
  <c r="P187" i="1" s="1"/>
  <c r="Q187" i="1" s="1"/>
  <c r="M180" i="1"/>
  <c r="P180" i="1" s="1"/>
  <c r="Q180" i="1" s="1"/>
  <c r="M219" i="1"/>
  <c r="P219" i="1" s="1"/>
  <c r="Q219" i="1" s="1"/>
  <c r="M207" i="1"/>
  <c r="P207" i="1" s="1"/>
  <c r="Q207" i="1" s="1"/>
  <c r="M231" i="1"/>
  <c r="P231" i="1" s="1"/>
  <c r="Q231" i="1" s="1"/>
  <c r="M211" i="1"/>
  <c r="P211" i="1" s="1"/>
  <c r="Q211" i="1" s="1"/>
  <c r="M209" i="1"/>
  <c r="P209" i="1" s="1"/>
  <c r="Q209" i="1" s="1"/>
  <c r="M184" i="1"/>
  <c r="P184" i="1" s="1"/>
  <c r="Q184" i="1" s="1"/>
  <c r="M182" i="1"/>
  <c r="P182" i="1" s="1"/>
  <c r="Q182" i="1" s="1"/>
  <c r="M224" i="1"/>
  <c r="P224" i="1" s="1"/>
  <c r="Q224" i="1" s="1"/>
  <c r="M247" i="1"/>
  <c r="P247" i="1" s="1"/>
  <c r="Q247" i="1" s="1"/>
  <c r="M223" i="1"/>
  <c r="P223" i="1" s="1"/>
  <c r="Q223" i="1" s="1"/>
  <c r="M195" i="1"/>
  <c r="P195" i="1" s="1"/>
  <c r="Q195" i="1" s="1"/>
  <c r="M175" i="1"/>
  <c r="P175" i="1" s="1"/>
  <c r="Q175" i="1" s="1"/>
  <c r="M191" i="1"/>
  <c r="P191" i="1" s="1"/>
  <c r="Q191" i="1" s="1"/>
  <c r="M51" i="1"/>
  <c r="P51" i="1" s="1"/>
  <c r="Q51" i="1" s="1"/>
  <c r="M900" i="1"/>
  <c r="P900" i="1" s="1"/>
  <c r="Q900" i="1" s="1"/>
  <c r="M901" i="1"/>
  <c r="P901" i="1" s="1"/>
  <c r="Q901" i="1" s="1"/>
  <c r="M44" i="1"/>
  <c r="P44" i="1" s="1"/>
  <c r="M48" i="1"/>
  <c r="P48" i="1" s="1"/>
  <c r="Q48" i="1" s="1"/>
  <c r="M46" i="1"/>
  <c r="P46" i="1" s="1"/>
  <c r="Q46" i="1" s="1"/>
  <c r="M50" i="1"/>
  <c r="P50" i="1" s="1"/>
  <c r="Q50" i="1" s="1"/>
  <c r="M45" i="1"/>
  <c r="P45" i="1" s="1"/>
  <c r="Q45" i="1" s="1"/>
  <c r="M47" i="1"/>
  <c r="P47" i="1" s="1"/>
  <c r="Q47" i="1" s="1"/>
  <c r="M49" i="1"/>
  <c r="P49" i="1" s="1"/>
  <c r="Q49" i="1" s="1"/>
  <c r="M899" i="1"/>
  <c r="P899" i="1" s="1"/>
  <c r="M30" i="1"/>
  <c r="P30" i="1" s="1"/>
  <c r="Q30" i="1" s="1"/>
  <c r="M28" i="1"/>
  <c r="P28" i="1" s="1"/>
  <c r="Q28" i="1" s="1"/>
  <c r="M35" i="1"/>
  <c r="P35" i="1" s="1"/>
  <c r="Q35" i="1" s="1"/>
  <c r="M34" i="1"/>
  <c r="P34" i="1" s="1"/>
  <c r="Q34" i="1" s="1"/>
  <c r="M25" i="1"/>
  <c r="P25" i="1" s="1"/>
  <c r="Q25" i="1" s="1"/>
  <c r="M24" i="1"/>
  <c r="P24" i="1" s="1"/>
  <c r="M27" i="1"/>
  <c r="P27" i="1" s="1"/>
  <c r="Q27" i="1" s="1"/>
  <c r="M33" i="1"/>
  <c r="P33" i="1" s="1"/>
  <c r="Q33" i="1" s="1"/>
  <c r="M29" i="1"/>
  <c r="P29" i="1" s="1"/>
  <c r="Q29" i="1" s="1"/>
  <c r="M26" i="1"/>
  <c r="P26" i="1" s="1"/>
  <c r="Q26" i="1" s="1"/>
  <c r="M32" i="1"/>
  <c r="P32" i="1" s="1"/>
  <c r="Q32" i="1" s="1"/>
  <c r="M9" i="1"/>
  <c r="M16" i="1"/>
  <c r="Q16" i="1" s="1"/>
  <c r="M17" i="1"/>
  <c r="Q17" i="1" s="1"/>
  <c r="M14" i="1"/>
  <c r="Q14" i="1" s="1"/>
  <c r="M13" i="1"/>
  <c r="Q13" i="1" s="1"/>
  <c r="M12" i="1"/>
  <c r="Q12" i="1" s="1"/>
  <c r="M18" i="1"/>
  <c r="Q18" i="1" s="1"/>
  <c r="M15" i="1"/>
  <c r="Q15" i="1" s="1"/>
  <c r="M11" i="1"/>
  <c r="Q11" i="1" s="1"/>
  <c r="M10" i="1"/>
  <c r="Q10" i="1" s="1"/>
  <c r="M261" i="1"/>
  <c r="P261" i="1" s="1"/>
  <c r="Q261" i="1" s="1"/>
  <c r="M260" i="1"/>
  <c r="P260" i="1" s="1"/>
  <c r="M262" i="1"/>
  <c r="P262" i="1" s="1"/>
  <c r="Q10" i="5" l="1"/>
  <c r="R12" i="5" s="1"/>
  <c r="R14" i="5" s="1"/>
  <c r="N12" i="5"/>
  <c r="R17" i="5"/>
  <c r="P1" i="5" s="1"/>
  <c r="N14" i="5"/>
  <c r="Q10" i="3"/>
  <c r="R12" i="3" s="1"/>
  <c r="R14" i="3" s="1"/>
  <c r="N12" i="3"/>
  <c r="N14" i="3"/>
  <c r="R17" i="3"/>
  <c r="P1" i="3" s="1"/>
  <c r="M10" i="8"/>
  <c r="P10" i="8" s="1"/>
  <c r="M11" i="8"/>
  <c r="P11" i="8" s="1"/>
  <c r="Q11" i="8" s="1"/>
  <c r="M10" i="10"/>
  <c r="P10" i="10" s="1"/>
  <c r="M11" i="10"/>
  <c r="P11" i="10" s="1"/>
  <c r="Q11" i="10" s="1"/>
  <c r="M11" i="9"/>
  <c r="P11" i="9" s="1"/>
  <c r="Q11" i="9" s="1"/>
  <c r="M10" i="9"/>
  <c r="P10" i="9" s="1"/>
  <c r="Q728" i="1"/>
  <c r="R896" i="1" s="1"/>
  <c r="N896" i="1"/>
  <c r="E20" i="2" s="1"/>
  <c r="Q603" i="1"/>
  <c r="R724" i="1" s="1"/>
  <c r="N724" i="1"/>
  <c r="E19" i="2" s="1"/>
  <c r="Q392" i="1"/>
  <c r="R599" i="1" s="1"/>
  <c r="N599" i="1"/>
  <c r="E18" i="2" s="1"/>
  <c r="Q372" i="1"/>
  <c r="R388" i="1" s="1"/>
  <c r="N388" i="1"/>
  <c r="E17" i="2" s="1"/>
  <c r="Q59" i="1"/>
  <c r="R61" i="1" s="1"/>
  <c r="N41" i="1"/>
  <c r="E6" i="2" s="1"/>
  <c r="N104" i="1"/>
  <c r="E9" i="2" s="1"/>
  <c r="Q99" i="1"/>
  <c r="Q102" i="1"/>
  <c r="R134" i="1" s="1"/>
  <c r="N134" i="1"/>
  <c r="E11" i="2" s="1"/>
  <c r="Q156" i="1"/>
  <c r="R171" i="1" s="1"/>
  <c r="N171" i="1"/>
  <c r="E12" i="2" s="1"/>
  <c r="Q108" i="1"/>
  <c r="R113" i="1" s="1"/>
  <c r="N113" i="1"/>
  <c r="E10" i="2" s="1"/>
  <c r="G10" i="2" s="1"/>
  <c r="H10" i="2" s="1"/>
  <c r="N346" i="1"/>
  <c r="E15" i="2" s="1"/>
  <c r="Q341" i="1"/>
  <c r="R346" i="1" s="1"/>
  <c r="N369" i="1"/>
  <c r="E16" i="2" s="1"/>
  <c r="Q350" i="1"/>
  <c r="R369" i="1" s="1"/>
  <c r="Q314" i="1"/>
  <c r="R337" i="1" s="1"/>
  <c r="N337" i="1"/>
  <c r="E14" i="2" s="1"/>
  <c r="G14" i="2" s="1"/>
  <c r="H14" i="2" s="1"/>
  <c r="G8" i="2"/>
  <c r="H8" i="2" s="1"/>
  <c r="N904" i="1"/>
  <c r="E21" i="2" s="1"/>
  <c r="Q899" i="1"/>
  <c r="R904" i="1" s="1"/>
  <c r="Q44" i="1"/>
  <c r="R56" i="1" s="1"/>
  <c r="N56" i="1"/>
  <c r="E7" i="2" s="1"/>
  <c r="Q24" i="1"/>
  <c r="R41" i="1" s="1"/>
  <c r="R21" i="1"/>
  <c r="N21" i="1"/>
  <c r="E5" i="2" s="1"/>
  <c r="G5" i="2" s="1"/>
  <c r="H5" i="2" s="1"/>
  <c r="N294" i="1"/>
  <c r="E13" i="2" s="1"/>
  <c r="Q262" i="1"/>
  <c r="N906" i="1"/>
  <c r="Q260" i="1"/>
  <c r="R909" i="1"/>
  <c r="P1" i="1" s="1"/>
  <c r="N15" i="10" l="1"/>
  <c r="N13" i="10"/>
  <c r="R18" i="10"/>
  <c r="P1" i="10" s="1"/>
  <c r="Q10" i="10"/>
  <c r="R13" i="10" s="1"/>
  <c r="R15" i="10" s="1"/>
  <c r="Q10" i="8"/>
  <c r="R13" i="8" s="1"/>
  <c r="R15" i="8" s="1"/>
  <c r="N15" i="8"/>
  <c r="R18" i="8"/>
  <c r="P1" i="8" s="1"/>
  <c r="N13" i="8"/>
  <c r="P3" i="3"/>
  <c r="P2" i="3"/>
  <c r="P5" i="3" s="1"/>
  <c r="P2" i="5"/>
  <c r="P3" i="5"/>
  <c r="R104" i="1"/>
  <c r="R18" i="9"/>
  <c r="P1" i="9" s="1"/>
  <c r="N13" i="9"/>
  <c r="N15" i="9"/>
  <c r="Q10" i="9"/>
  <c r="R13" i="9" s="1"/>
  <c r="R15" i="9" s="1"/>
  <c r="G20" i="2"/>
  <c r="H20" i="2" s="1"/>
  <c r="G19" i="2"/>
  <c r="H19" i="2" s="1"/>
  <c r="G18" i="2"/>
  <c r="H18" i="2" s="1"/>
  <c r="G17" i="2"/>
  <c r="H17" i="2" s="1"/>
  <c r="G9" i="2"/>
  <c r="H9" i="2" s="1"/>
  <c r="G11" i="2"/>
  <c r="H11" i="2" s="1"/>
  <c r="J10" i="2"/>
  <c r="I10" i="2"/>
  <c r="G12" i="2"/>
  <c r="H12" i="2" s="1"/>
  <c r="G15" i="2"/>
  <c r="H15" i="2" s="1"/>
  <c r="J14" i="2"/>
  <c r="I14" i="2"/>
  <c r="G16" i="2"/>
  <c r="H16" i="2" s="1"/>
  <c r="J8" i="2"/>
  <c r="I8" i="2"/>
  <c r="G7" i="2"/>
  <c r="H7" i="2" s="1"/>
  <c r="G21" i="2"/>
  <c r="H21" i="2" s="1"/>
  <c r="G6" i="2"/>
  <c r="H6" i="2" s="1"/>
  <c r="J5" i="2"/>
  <c r="I5" i="2"/>
  <c r="R294" i="1"/>
  <c r="E23" i="2"/>
  <c r="E30" i="2" s="1"/>
  <c r="G13" i="2"/>
  <c r="P3" i="1"/>
  <c r="P2" i="1"/>
  <c r="R906" i="1" l="1"/>
  <c r="P2" i="8"/>
  <c r="P3" i="8"/>
  <c r="P3" i="10"/>
  <c r="P2" i="10"/>
  <c r="P2" i="9"/>
  <c r="P3" i="9"/>
  <c r="I20" i="2"/>
  <c r="J20" i="2"/>
  <c r="J19" i="2"/>
  <c r="I19" i="2"/>
  <c r="L19" i="2" s="1"/>
  <c r="J18" i="2"/>
  <c r="I18" i="2"/>
  <c r="I17" i="2"/>
  <c r="J17" i="2"/>
  <c r="I9" i="2"/>
  <c r="J9" i="2"/>
  <c r="L10" i="2"/>
  <c r="I11" i="2"/>
  <c r="J11" i="2"/>
  <c r="J12" i="2"/>
  <c r="I12" i="2"/>
  <c r="J15" i="2"/>
  <c r="I15" i="2"/>
  <c r="L14" i="2"/>
  <c r="I16" i="2"/>
  <c r="J16" i="2"/>
  <c r="L8" i="2"/>
  <c r="G23" i="2"/>
  <c r="I21" i="2"/>
  <c r="J21" i="2"/>
  <c r="J7" i="2"/>
  <c r="I7" i="2"/>
  <c r="J6" i="2"/>
  <c r="I6" i="2"/>
  <c r="H13" i="2"/>
  <c r="E31" i="2"/>
  <c r="P5" i="8" l="1"/>
  <c r="L20" i="2"/>
  <c r="P5" i="10"/>
  <c r="P5" i="9"/>
  <c r="P5" i="5"/>
  <c r="L18" i="2"/>
  <c r="L17" i="2"/>
  <c r="L9" i="2"/>
  <c r="L15" i="2"/>
  <c r="L11" i="2"/>
  <c r="L12" i="2"/>
  <c r="L16" i="2"/>
  <c r="L6" i="2"/>
  <c r="L21" i="2"/>
  <c r="L7" i="2"/>
  <c r="E32" i="2"/>
  <c r="E34" i="2" s="1"/>
  <c r="P4" i="1"/>
  <c r="P5" i="1" s="1"/>
  <c r="H23" i="2"/>
  <c r="I13" i="2"/>
  <c r="I23" i="2" s="1"/>
  <c r="J13" i="2"/>
  <c r="J23" i="2" s="1"/>
  <c r="E33" i="2" l="1"/>
  <c r="E35" i="2" s="1"/>
  <c r="E38" i="2" s="1"/>
  <c r="L13" i="2"/>
  <c r="K5" i="2"/>
  <c r="K23" i="2" l="1"/>
  <c r="L5" i="2"/>
  <c r="L23" i="2" l="1"/>
</calcChain>
</file>

<file path=xl/sharedStrings.xml><?xml version="1.0" encoding="utf-8"?>
<sst xmlns="http://schemas.openxmlformats.org/spreadsheetml/2006/main" count="3240" uniqueCount="981">
  <si>
    <t>SR.
NO.</t>
  </si>
  <si>
    <t>DESCRIPTION</t>
  </si>
  <si>
    <t>QUANTITY</t>
  </si>
  <si>
    <t>UNIT</t>
  </si>
  <si>
    <t>MATERIAL 
COST</t>
  </si>
  <si>
    <t>MANHOURS COST</t>
  </si>
  <si>
    <t>UNIT MANHOURS</t>
  </si>
  <si>
    <t>TOTAL MANHOURS</t>
  </si>
  <si>
    <t>TOTAL
COST</t>
  </si>
  <si>
    <t>UNIT MATERIAL
COST</t>
  </si>
  <si>
    <t>DWG. NO.</t>
  </si>
  <si>
    <t>DETAIL NO.</t>
  </si>
  <si>
    <t>SUBTOTAL MATERIAL</t>
  </si>
  <si>
    <t>SUBTOTAL LABOR</t>
  </si>
  <si>
    <t>COMPOSITE LABOR RATE</t>
  </si>
  <si>
    <t>BID SUMMARY</t>
  </si>
  <si>
    <t>MATERIAL COST</t>
  </si>
  <si>
    <t>LABOR COST</t>
  </si>
  <si>
    <t>MATERIAL TAX</t>
  </si>
  <si>
    <t>LABOR TAX</t>
  </si>
  <si>
    <t>TOTAL COST</t>
  </si>
  <si>
    <t>OVERHEADS</t>
  </si>
  <si>
    <t>PROFITS</t>
  </si>
  <si>
    <t>TOTAL PRICE</t>
  </si>
  <si>
    <t>TOTALS</t>
  </si>
  <si>
    <t>BID RECAP</t>
  </si>
  <si>
    <t>TOTAL MATERIAL COST</t>
  </si>
  <si>
    <t>TOTAL LABOR COST</t>
  </si>
  <si>
    <t>MATERIAL SALES TAX</t>
  </si>
  <si>
    <t>OVERHEADS @</t>
  </si>
  <si>
    <t>JOB EXPENSE</t>
  </si>
  <si>
    <t>TOTAL COST WITH OVERHEADS + PROFIT</t>
  </si>
  <si>
    <t>PROFIT @</t>
  </si>
  <si>
    <t>BASE BID PRICE</t>
  </si>
  <si>
    <t>MAN LOAD</t>
  </si>
  <si>
    <t>SUPERVISOR RATE</t>
  </si>
  <si>
    <t>UNSKILLED LABOR RATE</t>
  </si>
  <si>
    <t>TOTAL MANHOURS WITH SUPERVISION</t>
  </si>
  <si>
    <t>NUMBER OF MAN-DAYS</t>
  </si>
  <si>
    <t>PREVAILING WAGE RATE</t>
  </si>
  <si>
    <t>MAN-LOADING AND SUPERVISION ANALYSIS</t>
  </si>
  <si>
    <t>INSERT VALUES IN YELLOW HIGHLIGHTED CELLS WHERE APPLICABLE</t>
  </si>
  <si>
    <t>SUBTOTAL HOURS</t>
  </si>
  <si>
    <t>CSI NO.</t>
  </si>
  <si>
    <t>09 00 00</t>
  </si>
  <si>
    <t>OPENINGS</t>
  </si>
  <si>
    <t>08 00 00</t>
  </si>
  <si>
    <t>FINISHES</t>
  </si>
  <si>
    <t>JOURNEYMAN RATE</t>
  </si>
  <si>
    <t>Mudding Compound (12 LBS)</t>
  </si>
  <si>
    <t>Screws (244 EA)</t>
  </si>
  <si>
    <t>ROLLS</t>
  </si>
  <si>
    <t>BUCKETS</t>
  </si>
  <si>
    <t>BOXES</t>
  </si>
  <si>
    <t>Taping (180' L)</t>
  </si>
  <si>
    <t>02 00 00</t>
  </si>
  <si>
    <t>03 00 00</t>
  </si>
  <si>
    <t>CONCRETE</t>
  </si>
  <si>
    <t>WOOD, PLASTICS, AND COMPOSITES</t>
  </si>
  <si>
    <t>THERMAL AND MOISTURE PROTECTION</t>
  </si>
  <si>
    <t>10 00 00</t>
  </si>
  <si>
    <t>SPECIALTIES</t>
  </si>
  <si>
    <t>11 00 00</t>
  </si>
  <si>
    <t>EQUIPMENT</t>
  </si>
  <si>
    <t>12 00 00</t>
  </si>
  <si>
    <t>FURNISHINGS</t>
  </si>
  <si>
    <t>31 00 00</t>
  </si>
  <si>
    <t>EARTHWORK</t>
  </si>
  <si>
    <t>SELECTIVE DEMOLITION</t>
  </si>
  <si>
    <t>DIVISION 02 - EXISTING CONDITIONS/ DEMOLITION</t>
  </si>
  <si>
    <t xml:space="preserve">02 41 19 </t>
  </si>
  <si>
    <t>DIVISION 03 - CONCRETE</t>
  </si>
  <si>
    <t>CAST-IN-PLACE CONCRETE</t>
  </si>
  <si>
    <t xml:space="preserve">03 30 00 </t>
  </si>
  <si>
    <t>GROUTING</t>
  </si>
  <si>
    <t xml:space="preserve">03 60 00 </t>
  </si>
  <si>
    <t>UNIT MASONRY</t>
  </si>
  <si>
    <t xml:space="preserve">04 20 00 </t>
  </si>
  <si>
    <t>DIVISION 05 - METALS</t>
  </si>
  <si>
    <t>STRUCTURAL STEEL FRAMING</t>
  </si>
  <si>
    <t xml:space="preserve">05 12 00 </t>
  </si>
  <si>
    <t>METAL RAILINGS</t>
  </si>
  <si>
    <t xml:space="preserve">05 52 00 </t>
  </si>
  <si>
    <t>COLUMN COVERS</t>
  </si>
  <si>
    <t xml:space="preserve">05 58 13 </t>
  </si>
  <si>
    <t>ROUGH CARPENTRY</t>
  </si>
  <si>
    <t xml:space="preserve">06 10 00 </t>
  </si>
  <si>
    <t>MILLWORK</t>
  </si>
  <si>
    <t xml:space="preserve">06 22 00 </t>
  </si>
  <si>
    <t>ROOF AND WALL SPECIALTIES AND ACCESSORIES</t>
  </si>
  <si>
    <t xml:space="preserve">07 70 00  </t>
  </si>
  <si>
    <t>FIRESTOPPING</t>
  </si>
  <si>
    <t xml:space="preserve">07 84 00 </t>
  </si>
  <si>
    <t>JOINT SEALANTS</t>
  </si>
  <si>
    <t xml:space="preserve">07 92 00  </t>
  </si>
  <si>
    <t>DIVISION 08 - OPENINGS</t>
  </si>
  <si>
    <t>HOLLOW METAL DOORS AND FRAMES</t>
  </si>
  <si>
    <t xml:space="preserve">08 11 13 </t>
  </si>
  <si>
    <t>WOOD DOORS</t>
  </si>
  <si>
    <t xml:space="preserve">08 14 00 </t>
  </si>
  <si>
    <t>STOREFRONTS</t>
  </si>
  <si>
    <t xml:space="preserve">08 43 00 </t>
  </si>
  <si>
    <t>ALUMINUM WINDOWS</t>
  </si>
  <si>
    <t>DOOR HARDWARE</t>
  </si>
  <si>
    <t xml:space="preserve">08 71 00 </t>
  </si>
  <si>
    <t>GLAZING</t>
  </si>
  <si>
    <t xml:space="preserve">08 80 00 </t>
  </si>
  <si>
    <t>DIVISION 09 - FINISHES</t>
  </si>
  <si>
    <t>GYPSUM BOARD ASSEMBLIES</t>
  </si>
  <si>
    <t xml:space="preserve">09 21 16 </t>
  </si>
  <si>
    <t>CEMENT PARGING</t>
  </si>
  <si>
    <t xml:space="preserve">09 24 33 </t>
  </si>
  <si>
    <t>CERAMIC TILING</t>
  </si>
  <si>
    <t>ACOUSTICAL CEILINGS</t>
  </si>
  <si>
    <t xml:space="preserve">09 51 00 </t>
  </si>
  <si>
    <t>RESILIENT TILE FLOORING</t>
  </si>
  <si>
    <t xml:space="preserve">09 65 19 </t>
  </si>
  <si>
    <t>WALL COVERINGS</t>
  </si>
  <si>
    <t xml:space="preserve">09 72 00  </t>
  </si>
  <si>
    <t>SPECIAL WALL SURFACING</t>
  </si>
  <si>
    <t xml:space="preserve">09 77 00 </t>
  </si>
  <si>
    <t>PAINTING</t>
  </si>
  <si>
    <t xml:space="preserve">09 91 00 </t>
  </si>
  <si>
    <t>DIVISION 10 - SPECIALTIES</t>
  </si>
  <si>
    <t>VISUAL DISPLAY UNITS</t>
  </si>
  <si>
    <t xml:space="preserve">10 11 00 </t>
  </si>
  <si>
    <t>SIGNAGE</t>
  </si>
  <si>
    <t xml:space="preserve">10 14 00 </t>
  </si>
  <si>
    <t>TOILET ACCESSORIES</t>
  </si>
  <si>
    <t xml:space="preserve">10 28 13 </t>
  </si>
  <si>
    <t>FIRE PROTECTION CABINETS</t>
  </si>
  <si>
    <t xml:space="preserve">10 44 13  </t>
  </si>
  <si>
    <t>STORAGE ASSEMBLIES</t>
  </si>
  <si>
    <t xml:space="preserve">10 56 00 </t>
  </si>
  <si>
    <t>DIVISION 11 - EQUIPMENT</t>
  </si>
  <si>
    <t>UNIT KITCHENS</t>
  </si>
  <si>
    <t xml:space="preserve">11 32 00 </t>
  </si>
  <si>
    <t>DIVISION 12 - FURNISHINGS</t>
  </si>
  <si>
    <t>CASEWORK</t>
  </si>
  <si>
    <t xml:space="preserve">12 30 00 </t>
  </si>
  <si>
    <t>COUNTERTOPS</t>
  </si>
  <si>
    <t xml:space="preserve">12 36 00 </t>
  </si>
  <si>
    <t>FURNISHINGS AND ACCESSORIES</t>
  </si>
  <si>
    <t xml:space="preserve">12 40 00 </t>
  </si>
  <si>
    <t>DIVISION 31 - EARTHWORK</t>
  </si>
  <si>
    <t>EXCAVATION AND FILL</t>
  </si>
  <si>
    <t xml:space="preserve">31 23 00 </t>
  </si>
  <si>
    <t>DIVISION 32 - EXTERIOR IMPROVEMENTS</t>
  </si>
  <si>
    <t>PLANTS</t>
  </si>
  <si>
    <t xml:space="preserve">32 93 00 </t>
  </si>
  <si>
    <t>DIVISION 06 - WOOD, PLASTICS, AND COMPOSITES</t>
  </si>
  <si>
    <t>DIVISION 07 - THERMAL AND MOISTURE PROTECTION</t>
  </si>
  <si>
    <t>Notes:</t>
  </si>
  <si>
    <t>Date:</t>
  </si>
  <si>
    <t>All other prices are excluded that are not included in the estimate above.</t>
  </si>
  <si>
    <t>DIVISION 04 - MASONRY</t>
  </si>
  <si>
    <t>MASONRY</t>
  </si>
  <si>
    <t>METALS</t>
  </si>
  <si>
    <t>06 00 00</t>
  </si>
  <si>
    <t>05 00 00</t>
  </si>
  <si>
    <t>04 00 00</t>
  </si>
  <si>
    <t>07 00 00</t>
  </si>
  <si>
    <t>DIVISION</t>
  </si>
  <si>
    <t>BOND &amp; INSURANCE</t>
  </si>
  <si>
    <t>PROJECT SUPERVISION &amp; PROJECT MANAGEMENT</t>
  </si>
  <si>
    <t>PROJECT SCHEDULE (Primavera P3 or P6)</t>
  </si>
  <si>
    <t>OFFICE OVERHEADS</t>
  </si>
  <si>
    <t>QTY W/
WASTAGE</t>
  </si>
  <si>
    <t>MAN HOUR RATE</t>
  </si>
  <si>
    <t>WASTAGE %</t>
  </si>
  <si>
    <t>01 00 00</t>
  </si>
  <si>
    <t>DIVISION 01 - GENERAL REQUIREMENTS</t>
  </si>
  <si>
    <t>GENERAL REQUIREMENTS</t>
  </si>
  <si>
    <t>DIVISION 21 - FIRE SUPPRESSION</t>
  </si>
  <si>
    <t>DIVISION 22 - PLUMBING</t>
  </si>
  <si>
    <t>DIVISION 23 - HEATING, VENTILATING &amp; AIR- CONDITIOINING</t>
  </si>
  <si>
    <t>DIVISION 26 - ELECTRICAL</t>
  </si>
  <si>
    <t>21 00 00</t>
  </si>
  <si>
    <t>22 00 00</t>
  </si>
  <si>
    <t>23 00 00</t>
  </si>
  <si>
    <t>26 00 00</t>
  </si>
  <si>
    <t>FIRE SUPPRESSION</t>
  </si>
  <si>
    <t>PLUMBING</t>
  </si>
  <si>
    <t>ELECTRICAL</t>
  </si>
  <si>
    <t>SF</t>
  </si>
  <si>
    <t>EXISTING CONDITIONS/ DEMOLITION</t>
  </si>
  <si>
    <t>ADDITIONAL COST (If Any)</t>
  </si>
  <si>
    <t>DISTRIBUTION</t>
  </si>
  <si>
    <t>Conduits</t>
  </si>
  <si>
    <t>Grounding</t>
  </si>
  <si>
    <t>BRANCH WIRING</t>
  </si>
  <si>
    <t>Conduit- Lighting</t>
  </si>
  <si>
    <t>Conductor- Lighting</t>
  </si>
  <si>
    <t>Conduit- Power</t>
  </si>
  <si>
    <t>Conductor- Power</t>
  </si>
  <si>
    <t>WIRING DEVICES</t>
  </si>
  <si>
    <t>Devices</t>
  </si>
  <si>
    <t>LIGHTING CONTROLS</t>
  </si>
  <si>
    <t>Rectangular Ducts</t>
  </si>
  <si>
    <t>PIPES</t>
  </si>
  <si>
    <t>INSULATION</t>
  </si>
  <si>
    <t>DEVICES</t>
  </si>
  <si>
    <t>EQUIPMENTS</t>
  </si>
  <si>
    <t>TOTAL LABOR HOURS</t>
  </si>
  <si>
    <t>OVERHEAD COST</t>
  </si>
  <si>
    <t>PROFIT COST</t>
  </si>
  <si>
    <t>PROJECT COST</t>
  </si>
  <si>
    <t>TOTAL MATERIAL</t>
  </si>
  <si>
    <t>TOTAL LABOR</t>
  </si>
  <si>
    <t>TOTAL HOURS</t>
  </si>
  <si>
    <t>LF</t>
  </si>
  <si>
    <t>Sheathing &amp; Shoring</t>
  </si>
  <si>
    <t>CY</t>
  </si>
  <si>
    <t>TOTAL BID COST</t>
  </si>
  <si>
    <t>HEATING, VENTILATING &amp; AIR- CONDITIONING</t>
  </si>
  <si>
    <t xml:space="preserve">09 64 19 </t>
  </si>
  <si>
    <t>WOOD FLOORING</t>
  </si>
  <si>
    <t>Scaffolding/ Means and Method</t>
  </si>
  <si>
    <t>LS</t>
  </si>
  <si>
    <t>SUBMITTALS, SAMPLES, SHOP DRAWINGS, SITE SAFETY PLAN, ETC.</t>
  </si>
  <si>
    <t>TEMPORARY FACILITIES &amp; CONTROLS INCL. 
- CONTRACTOR'S FIELD OFFICE
- TEMPORARY UTILITIES
- AUTHORITY'S FIELD OFFICE ( SF) 
- FURNISHINGS</t>
  </si>
  <si>
    <t>MOBILIZATION AND DEMOBILIZATION</t>
  </si>
  <si>
    <t>CLOSEOUT PROCEDURES</t>
  </si>
  <si>
    <t>PERMITS (DOT, DOB &amp; After hour permits ETC.)</t>
  </si>
  <si>
    <t>SAFETY REQUIREMENTS</t>
  </si>
  <si>
    <t>Addendum: N/A</t>
  </si>
  <si>
    <t>Online sources are used for pricing purpose. Please verify, as per your own convenience.</t>
  </si>
  <si>
    <t>Prices can vary depending upon field conditions.</t>
  </si>
  <si>
    <t>Cells highlighted with green, please price the items as per your own facility.</t>
  </si>
  <si>
    <t>S051</t>
  </si>
  <si>
    <t>Sawcut existing concrete slab</t>
  </si>
  <si>
    <t>Remove existing (4" Thk.) concrete slab on grade</t>
  </si>
  <si>
    <t>Remove existing foundation wall</t>
  </si>
  <si>
    <t>Remove existing footing</t>
  </si>
  <si>
    <t>DM200</t>
  </si>
  <si>
    <t>Remove existing CMU wall including furring wall to create new opening</t>
  </si>
  <si>
    <t>Keynote 12</t>
  </si>
  <si>
    <t>Remove single door incl. frame in its entirety</t>
  </si>
  <si>
    <t>Keynote 11</t>
  </si>
  <si>
    <t>EA</t>
  </si>
  <si>
    <t>Remove existing (6'-8" W) roll-down door in its entirety</t>
  </si>
  <si>
    <t>Sawcut existing roof deck as required for new opening</t>
  </si>
  <si>
    <t>DM201</t>
  </si>
  <si>
    <t>Keynote 1</t>
  </si>
  <si>
    <t>Remove existing roof deck as required for the opening</t>
  </si>
  <si>
    <t>Remove existing euipment screens</t>
  </si>
  <si>
    <t>Keynote 3</t>
  </si>
  <si>
    <t>Remove existing RTU Curbs and walkpads</t>
  </si>
  <si>
    <t>Keynote 4</t>
  </si>
  <si>
    <t>(3'-6"x3'-6"x12") Reinforced concrete footing</t>
  </si>
  <si>
    <t>S101</t>
  </si>
  <si>
    <t>(1'-6"x1'-6") Reinforced concrete pier = 2' H</t>
  </si>
  <si>
    <t>Concrete trench slab as:
- (4" Thk) Reinforced concrete slab on grade w/ 6x6-W1.4xW1.4 WWF 
- Sand fill
- #3 Dowels @ 18" O.C. Dowel into existing slab</t>
  </si>
  <si>
    <t>15/S003</t>
  </si>
  <si>
    <t>Excavation for pool</t>
  </si>
  <si>
    <t>Concrete slab on grade as:
- (4" Thk) Reinforced concrete slab on grade w/ #3 Bars @12" O.C EW
- Vapor barrier
- (6" Thk) Gravel</t>
  </si>
  <si>
    <t>3/S002</t>
  </si>
  <si>
    <t>Concrete slab on grade as:
- (6" Thk) Reinforced concrete slab on grade #4 Bars @ 12" O.C E.W
- Vapor barrier
- (6" Thk) Gravel</t>
  </si>
  <si>
    <t>Concrete slab on grade as:
- (8" Thk) Reinforced concrete slab on grade w/ #4@12" O.C E.W
- (1'-8"x6") Thickened slab
- Vapor barrier
- (6" Thk) Gravel</t>
  </si>
  <si>
    <t>7/S002</t>
  </si>
  <si>
    <t>Concrete pad as:
- (4" Thk.) Reinforced concrete housekeeping pad w/ 6x6-W1.4xW1.4 Welded wire fabric
- Roughen existing surface of slab at area of new pad</t>
  </si>
  <si>
    <t>2/S302</t>
  </si>
  <si>
    <t>Excavation for sump pit</t>
  </si>
  <si>
    <t>Excavation for sand interceptor</t>
  </si>
  <si>
    <t>(6" Thk.) Reinforced concrete walls for the sand interceptor and sump pit</t>
  </si>
  <si>
    <t>HSS 8x8x3/8 = 33 LF</t>
  </si>
  <si>
    <t>HSS 8x6x3/8 = 20 LF</t>
  </si>
  <si>
    <t>HSS 6x6x3/8 = 52 LF</t>
  </si>
  <si>
    <t>HSS 12x6x1/2 = 74 LF</t>
  </si>
  <si>
    <t>HSS 4x4x3/8 = 5 LF</t>
  </si>
  <si>
    <t>HSS 4x2-1/2x3/8 = 4 LF</t>
  </si>
  <si>
    <t>L 6x6x3/8 = 25 LF</t>
  </si>
  <si>
    <t>L 8x4x1/2 = 1.25 LF</t>
  </si>
  <si>
    <t>L 6x3-1/2x3/8 = 52.5 LF</t>
  </si>
  <si>
    <t>L 4x3x3/8 = 8 LF</t>
  </si>
  <si>
    <t>L 1-1/2x1-1/2x1/4 = 30 LF</t>
  </si>
  <si>
    <t>L 6x4x1/4 = 10 LF</t>
  </si>
  <si>
    <t>L 4x4x3/8 = 125 LF</t>
  </si>
  <si>
    <t>L 3x2x1/4 = 2 LF</t>
  </si>
  <si>
    <t>Base PL 10"x10"x1/2" Thk. = 3 EA</t>
  </si>
  <si>
    <t>Base PL 9"x9"x3/4" Thk. = 1 EA</t>
  </si>
  <si>
    <t>Base PL 12"x8"x1/2" Thk. = 1 EA</t>
  </si>
  <si>
    <t>Base PL 12"x12"x1/2" Thk. = 2 EA</t>
  </si>
  <si>
    <t>Base PL 6"x6"x1/2" Thk. = 2 EA</t>
  </si>
  <si>
    <t>PL 10"x7-1/4"x1/2" Thk. = 2 EA</t>
  </si>
  <si>
    <t>PL 6"x6"x5/16" Thk. = 2 EA</t>
  </si>
  <si>
    <t>WT9x25 = 18 LF</t>
  </si>
  <si>
    <t>WT6 Hanger = 4 LF</t>
  </si>
  <si>
    <t>L 3x3x3/8 = 102 LF</t>
  </si>
  <si>
    <t>WT6x15 = 10 LF</t>
  </si>
  <si>
    <t>WT4x12 = 15 LF</t>
  </si>
  <si>
    <t>W18x40 = 74 LF</t>
  </si>
  <si>
    <t>W8x28 = 19.5 LF</t>
  </si>
  <si>
    <t>W8x31 = 39 LF</t>
  </si>
  <si>
    <t>W21x48 = 36 LF</t>
  </si>
  <si>
    <t>W12x26 = 64 LF</t>
  </si>
  <si>
    <t>(8" Thk.) Reinforced grouted CMU wall</t>
  </si>
  <si>
    <t>S102</t>
  </si>
  <si>
    <t>S101-103</t>
  </si>
  <si>
    <t>S300-400</t>
  </si>
  <si>
    <t>A204</t>
  </si>
  <si>
    <t>See Partition Sche. @ A008</t>
  </si>
  <si>
    <t>Partition wall type B3 as:</t>
  </si>
  <si>
    <t>(6", 22 GA.) Top and bottom metal track</t>
  </si>
  <si>
    <t>(6", 18 GA.) Steel studs @ 16" O.C.</t>
  </si>
  <si>
    <t>Sound attenuation batt insulation</t>
  </si>
  <si>
    <t>Vapor retarder</t>
  </si>
  <si>
    <t>(1 Layer, 5/8" Thk.) Gypsum wall board on both sides</t>
  </si>
  <si>
    <t>Flexible sealant @ top and bottom on each side</t>
  </si>
  <si>
    <t>Partition wall type B2 as:</t>
  </si>
  <si>
    <t>Partition wall type A as:</t>
  </si>
  <si>
    <t>(3-5/8", 22 GA.) Top and bottom metal track</t>
  </si>
  <si>
    <t>(3-5/8", 18 GA.) Steel studs @ 16" O.C.</t>
  </si>
  <si>
    <t>Partition wall type A2 as:</t>
  </si>
  <si>
    <t>Partition wall type A3 as:</t>
  </si>
  <si>
    <t>Partition wall type D2 as:</t>
  </si>
  <si>
    <t>Partition wall type E2 as:</t>
  </si>
  <si>
    <t>(3-5/8", 20 GA.) Steel studs @ 16" O.C.</t>
  </si>
  <si>
    <t>Furring wall type G as:</t>
  </si>
  <si>
    <t>(1 Layer, 5/8" Thk.) Gypsum wall board</t>
  </si>
  <si>
    <t>Flexible sealant @ top and bottom on one side</t>
  </si>
  <si>
    <t>Furring wall type G1 as:</t>
  </si>
  <si>
    <t>Furring wall type G2 as:</t>
  </si>
  <si>
    <t>(2-1/2", 22 GA.) Top and bottom metal track</t>
  </si>
  <si>
    <t>(2-1/2", 20 GA.) Steel studs @ 16" O.C.</t>
  </si>
  <si>
    <t>Furring wall type G3 as:</t>
  </si>
  <si>
    <t>(2-1/2", 18 GA.) Steel studs @ 16" O.C.</t>
  </si>
  <si>
    <t>Furring wall type K as:</t>
  </si>
  <si>
    <t>(2") Z-Furring strips @ 16" O.C.</t>
  </si>
  <si>
    <t>(1 Layer, 5/8" Thk.) Type X, Gypsum wall board</t>
  </si>
  <si>
    <t>R-13 CI Rigid Polyiso insulation</t>
  </si>
  <si>
    <t>Furring wall type K1 as:</t>
  </si>
  <si>
    <t>Viewing wallas:</t>
  </si>
  <si>
    <t>(1 Layer, 5/8" Thk.) Mold tough Gypsum wall board</t>
  </si>
  <si>
    <t>Grifffolyn vapor barrier</t>
  </si>
  <si>
    <t>A202</t>
  </si>
  <si>
    <t>(5/8" Thk.) Gypsum wall board ceiling w/ suspension system</t>
  </si>
  <si>
    <t>Prime and paint GWB Ceiling</t>
  </si>
  <si>
    <t>J1/A502</t>
  </si>
  <si>
    <t>Vinyl coated ACT Ceiling tiles w/ grid system</t>
  </si>
  <si>
    <t>A600</t>
  </si>
  <si>
    <t>(42"X20") Changing room benches installation 
- Provided by owner</t>
  </si>
  <si>
    <t>Keynote 10</t>
  </si>
  <si>
    <t>(4'-0"X6'-0") Cubbies installation 
- Provided by owner</t>
  </si>
  <si>
    <t>(6'-8"X6'-0") Cubbies installation 
- Provided by owner</t>
  </si>
  <si>
    <t>(5'-4"X6'-0") Cubbies installation 
- Provided by owner</t>
  </si>
  <si>
    <t>(3'-5"X2'-3") Fish tank surround installation 
- Provided by owner</t>
  </si>
  <si>
    <t>Keynote 15</t>
  </si>
  <si>
    <t>(4'-9"x4'-7") Chalk board</t>
  </si>
  <si>
    <t>Keynote 16</t>
  </si>
  <si>
    <t>(4'-9"x4'-7") Cork board</t>
  </si>
  <si>
    <t>(48"X24") Changing room benches installation 
- Provided by owner</t>
  </si>
  <si>
    <r>
      <t xml:space="preserve">Clothes hook
</t>
    </r>
    <r>
      <rPr>
        <b/>
        <sz val="11"/>
        <color theme="1"/>
        <rFont val="Arial"/>
        <family val="2"/>
      </rPr>
      <t>- Manf:</t>
    </r>
    <r>
      <rPr>
        <sz val="11"/>
        <color theme="1"/>
        <rFont val="Arial"/>
        <family val="2"/>
      </rPr>
      <t xml:space="preserve"> Liberty hardware
</t>
    </r>
    <r>
      <rPr>
        <b/>
        <sz val="11"/>
        <color theme="1"/>
        <rFont val="Arial"/>
        <family val="2"/>
      </rPr>
      <t>- Model#:</t>
    </r>
    <r>
      <rPr>
        <sz val="11"/>
        <color theme="1"/>
        <rFont val="Arial"/>
        <family val="2"/>
      </rPr>
      <t xml:space="preserve"> B4611Q-W-C5.2X</t>
    </r>
  </si>
  <si>
    <t>POOL EQUIPMENT</t>
  </si>
  <si>
    <t>A200</t>
  </si>
  <si>
    <t>Keynote 21</t>
  </si>
  <si>
    <r>
      <t xml:space="preserve">Wall mounted swimsuit water extractor
</t>
    </r>
    <r>
      <rPr>
        <b/>
        <sz val="11"/>
        <color theme="1"/>
        <rFont val="Arial"/>
        <family val="2"/>
      </rPr>
      <t xml:space="preserve">- Manf: </t>
    </r>
    <r>
      <rPr>
        <sz val="11"/>
        <color theme="1"/>
        <rFont val="Arial"/>
        <family val="2"/>
      </rPr>
      <t>Suitmate - 115V/60HZ</t>
    </r>
  </si>
  <si>
    <t>Hair dryer station installation
 - Provided by owner</t>
  </si>
  <si>
    <t>(2'-11" W) Baby changing station</t>
  </si>
  <si>
    <t>A501</t>
  </si>
  <si>
    <t>Wall mounted paper towel dispenser</t>
  </si>
  <si>
    <t>(2'-0"x3'-0") Wall mounted mirror</t>
  </si>
  <si>
    <t>Toilet paper dispenser</t>
  </si>
  <si>
    <t>(42" L) Grab bar</t>
  </si>
  <si>
    <t>(36" L) Grab bar</t>
  </si>
  <si>
    <t>(18" L) Grab bar</t>
  </si>
  <si>
    <t>Wall mounted soap dispenser</t>
  </si>
  <si>
    <t>(2'-6"x1'-6") Wall mounted grab bar</t>
  </si>
  <si>
    <t>(2'-9"x1'-9") ADA Shower seat</t>
  </si>
  <si>
    <t>Trash can</t>
  </si>
  <si>
    <t>See Toilet Accessory Sche.</t>
  </si>
  <si>
    <t>(3'-0"X9") Level and skill ribbon holder station installation 
- Provided by owner</t>
  </si>
  <si>
    <t>Keynote 60</t>
  </si>
  <si>
    <t>Keynote 9</t>
  </si>
  <si>
    <t>A503</t>
  </si>
  <si>
    <t>(16'-0"x1'-10") Shower bench w/ shower wall metal structure</t>
  </si>
  <si>
    <t>(12'-"X2'-4") Counter installation 
- Provided by owner</t>
  </si>
  <si>
    <t>Keynote 2</t>
  </si>
  <si>
    <t>Keynote 27</t>
  </si>
  <si>
    <t>(4'-0"x4'-0") Plywood backboard</t>
  </si>
  <si>
    <t xml:space="preserve"> (8" W) Corian sill (SS-3)</t>
  </si>
  <si>
    <t>Keynote 54</t>
  </si>
  <si>
    <t>(1x6) Blocking</t>
  </si>
  <si>
    <t>Fire extinguisher cabinet w/ extinguisher</t>
  </si>
  <si>
    <t>Keyynote 34</t>
  </si>
  <si>
    <t>Refrigerator installation 
- Provided by owner</t>
  </si>
  <si>
    <t>Keynote 30</t>
  </si>
  <si>
    <t>Keynote 39</t>
  </si>
  <si>
    <t>(2' W) Plastic laminate countertop</t>
  </si>
  <si>
    <t>(6" H) Plastic laminate backsplash</t>
  </si>
  <si>
    <t>(2'-6" W) Wall mounted plastic laminate countertop</t>
  </si>
  <si>
    <t>Keynote 18</t>
  </si>
  <si>
    <t>A504</t>
  </si>
  <si>
    <t>(2'-10" H, 2' D) Base cabinet</t>
  </si>
  <si>
    <t>A404</t>
  </si>
  <si>
    <t>(1'-6" W) Wall mounted wire shelving</t>
  </si>
  <si>
    <t>J2/A504</t>
  </si>
  <si>
    <t>(1'-4" W) Rubber maid hangers and rubber shelves for crates and storage</t>
  </si>
  <si>
    <t>(6'-6"x5'-7") Backer boards</t>
  </si>
  <si>
    <t>Keynote 77</t>
  </si>
  <si>
    <t>FRP Wall covering</t>
  </si>
  <si>
    <t>Keynote 37</t>
  </si>
  <si>
    <t>Keynote 13</t>
  </si>
  <si>
    <t>Clothes hook</t>
  </si>
  <si>
    <t>(1 Layer, 5/8" Thk.) FRT Plywood</t>
  </si>
  <si>
    <t>Towel hooks</t>
  </si>
  <si>
    <t>(1/2") Tempered clear glass</t>
  </si>
  <si>
    <t>Shower soap dispensers installation 
- Provided by owner</t>
  </si>
  <si>
    <t>(2'-3" H) Cabinet</t>
  </si>
  <si>
    <t>A402</t>
  </si>
  <si>
    <t>A401</t>
  </si>
  <si>
    <t>TV/ Monitor brackets installation 
- Provided by owner</t>
  </si>
  <si>
    <t>Keynote 24</t>
  </si>
  <si>
    <t>Keynote 29</t>
  </si>
  <si>
    <t>(1'-6" W, 6'-0" H) Storage rack installation 
- Provided by owner</t>
  </si>
  <si>
    <t>Closet rod and flange</t>
  </si>
  <si>
    <t>E6/A502</t>
  </si>
  <si>
    <t>(1'-8" W) White melamine adjustable shelves w/ heady duty shelf clips</t>
  </si>
  <si>
    <t>(3/4" Thk.) Melamine panel</t>
  </si>
  <si>
    <t>Seating area chairs installation 
- Provided by owner</t>
  </si>
  <si>
    <t>Keynote 28</t>
  </si>
  <si>
    <t>(30'-4"x8'-9") Mural wall graphic installation 
- Provided by owner</t>
  </si>
  <si>
    <t>Keynote 22</t>
  </si>
  <si>
    <t>Half-round bamboo anchored to wall</t>
  </si>
  <si>
    <t>C2/A504</t>
  </si>
  <si>
    <t>Column enclosure as:
- Alum. Cap 
- Griffolyn vapor barrier
- Plywood blocking</t>
  </si>
  <si>
    <t>(3'-0"x7'-0") Type H, Solid core wood door w/ wood frame</t>
  </si>
  <si>
    <t>A700</t>
  </si>
  <si>
    <t>See Door Sche.</t>
  </si>
  <si>
    <t>(4'-0"X7'-0") Double wooden slat door w/ wooden frame</t>
  </si>
  <si>
    <t>(3'-0"x7'-0") Type E, HM door w/ HM frame</t>
  </si>
  <si>
    <t>(3'-8"x7'-0") Type E, HM door w/ HM frame</t>
  </si>
  <si>
    <t>(90 Min. Rated, 3'-0"x7'-0") Type B, HM door w/ HM frame</t>
  </si>
  <si>
    <t>(90 Min. Rated, 3'-0"x7'-0") Type B, Solid core wood door w/ wood frame</t>
  </si>
  <si>
    <t>(45 Min. Rated, 3'-0"x5'-6") Type C, Solid core wood door w/ wood frame</t>
  </si>
  <si>
    <t>(25'-4"x10'-0") Alum./ Glass storefront incl. 
- (3'-0"x7'-0") Type A, Alum./ Glass door</t>
  </si>
  <si>
    <t>(18'-4"x10'-0") Alum./ Glass storefront incl. 
- (3'-0"x7'-0") Type A, Alum./ Glass door</t>
  </si>
  <si>
    <t>(29'-9"x10'-0") Alum./ Glass storefront</t>
  </si>
  <si>
    <t>(6'-4"x7'-2") Alum./ Glass storefront</t>
  </si>
  <si>
    <t>Keynote 42</t>
  </si>
  <si>
    <t>(13'-8"x7'-2") Alum./ Glass storefront incl. 
- (3'-6"x7'-0") Type G, Alum./ Glass door</t>
  </si>
  <si>
    <t>(12'-0"x9'-4") Storefront window installation 
- Provided by owner</t>
  </si>
  <si>
    <t>Keynote 66</t>
  </si>
  <si>
    <t>Keynote 67</t>
  </si>
  <si>
    <t>66 (11'-3"x10'-0") Storefront incl. double door installation 
- Provided by owner</t>
  </si>
  <si>
    <t>A900</t>
  </si>
  <si>
    <t>(9"x6") Signage type T</t>
  </si>
  <si>
    <t>(9"x9") Signage type W</t>
  </si>
  <si>
    <t>(16"x21") Signage installation 
- Provided by owner</t>
  </si>
  <si>
    <t>(67.3"x42") Signage installation 
- Provided by owner</t>
  </si>
  <si>
    <t>(40"x24") Signage installation 
- Provided by owner</t>
  </si>
  <si>
    <t>(24"x12") Signage installation 
- Provided by owner</t>
  </si>
  <si>
    <t>(24"x16") Signage installation 
- Provided by owner</t>
  </si>
  <si>
    <t>(26"x16") Signage installation 
- Provided by owner</t>
  </si>
  <si>
    <t>(18"x24") Signage installation 
- Provided by owner</t>
  </si>
  <si>
    <t>(12"x18") Signage installation 
- Provided by owner</t>
  </si>
  <si>
    <t>(27"x12") Signage installation 
- Provided by owner</t>
  </si>
  <si>
    <t>(26"x12") Signage installation 
- Provided by owner</t>
  </si>
  <si>
    <t>Paint single door incl. frame</t>
  </si>
  <si>
    <t>Paint double door incl. frame</t>
  </si>
  <si>
    <t>Keynote 31</t>
  </si>
  <si>
    <t>ADA Compliant grate at (6' W) entrance
- Detail is not provided</t>
  </si>
  <si>
    <t>Silicone sealant 
- Sikasil pool by Sika</t>
  </si>
  <si>
    <t>See Legend</t>
  </si>
  <si>
    <t>SP3.0</t>
  </si>
  <si>
    <t>(3' H) 316 S.S. ADA Hand rail</t>
  </si>
  <si>
    <t>SP3.1</t>
  </si>
  <si>
    <t>(2'-6" H) Grab rail</t>
  </si>
  <si>
    <t>Backstroke swimming flags installation 
- Provided by owner</t>
  </si>
  <si>
    <t>Keynote 33</t>
  </si>
  <si>
    <t>ROOFING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</si>
  <si>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GC to use Landlord's roofing contractor for all roof work</t>
    </r>
  </si>
  <si>
    <t xml:space="preserve">Pre-formed Alum. coping </t>
  </si>
  <si>
    <t>A201</t>
  </si>
  <si>
    <t>S.S Reglet/ counter flashing</t>
  </si>
  <si>
    <t>Pitch pocket flashing</t>
  </si>
  <si>
    <t>Base flashing</t>
  </si>
  <si>
    <t>Beam wrap type roof anchor</t>
  </si>
  <si>
    <t>C7/A504</t>
  </si>
  <si>
    <t>Roof patch as:
- Insulation and coverboard to match existing
- Metal deck to match existing</t>
  </si>
  <si>
    <t>G6/A504</t>
  </si>
  <si>
    <t>Wall mounted exterior ladder port  - Gutter saver</t>
  </si>
  <si>
    <t>A400</t>
  </si>
  <si>
    <t>Keynote 19</t>
  </si>
  <si>
    <t>Double VExpansion joint</t>
  </si>
  <si>
    <t>Keynote 8</t>
  </si>
  <si>
    <t>Paint CMU masonry to match existing</t>
  </si>
  <si>
    <t>Keynote 5</t>
  </si>
  <si>
    <t>METAL ROOFING</t>
  </si>
  <si>
    <t>J4/A502</t>
  </si>
  <si>
    <t>(7/8" Thk.) Portland cement plaster finish
- (1/2" Thk.) Dens glass sheathing
- 3-5/8" x 16GA. Steel studs @ 16 O.C. = 115 LF
- Air barrier</t>
  </si>
  <si>
    <t>A206</t>
  </si>
  <si>
    <t>See Finish Sche.</t>
  </si>
  <si>
    <t>Clean floor and apply (2 coats) of sealer (FC-1)
- Hermatic quartz epoxy overlay</t>
  </si>
  <si>
    <t>Apply curing agent and sendefoam (FC-2)
- Clean floor and apply (1 coat) of sealer 
- Hermatic quartz epoxy overlay</t>
  </si>
  <si>
    <t>1 Coat sealer</t>
  </si>
  <si>
    <t>(4" H) Rubber Base - B2</t>
  </si>
  <si>
    <t>A800</t>
  </si>
  <si>
    <t>(4" H) Wood Base - B1</t>
  </si>
  <si>
    <t>(4" H) Built up epoxy cove base - B4</t>
  </si>
  <si>
    <t>Schluter Transition</t>
  </si>
  <si>
    <t>Prime and paint walls 
- 2 Coats paint and 1 coat primer</t>
  </si>
  <si>
    <t>(42" Dia.) Wood/ glass window
- Jeld-Wen Siteline series
- EW42FRDS</t>
  </si>
  <si>
    <t>Durock Cement backer board</t>
  </si>
  <si>
    <t>Ceramic wall tile (WC-1)</t>
  </si>
  <si>
    <t>POOL FINISHES</t>
  </si>
  <si>
    <t>(12" W) Precast concrete coping w/ slip resistant finish 
- DQ Series by federal stone</t>
  </si>
  <si>
    <t>1/SP3.1</t>
  </si>
  <si>
    <t>Slip resistant ceramic tile</t>
  </si>
  <si>
    <t>Slip resistant diamond brite interior finish in pool</t>
  </si>
  <si>
    <t>Sealant</t>
  </si>
  <si>
    <t>A205</t>
  </si>
  <si>
    <t>Misc. Firestopping</t>
  </si>
  <si>
    <t>Sawcut concrete floor</t>
  </si>
  <si>
    <t>Clean, scrape, prepare and paint interior deck incl. steel beams, ducts, piping, conduits (C1-3)</t>
  </si>
  <si>
    <t>SP-100</t>
  </si>
  <si>
    <t>REMOVAL SPRINKLER PIPE</t>
  </si>
  <si>
    <t>REMOVAL ROOF TOP EQUIPMENT</t>
  </si>
  <si>
    <t>REMOVAL SPRINKLER HEADS</t>
  </si>
  <si>
    <t>MEP DEMOLITION</t>
  </si>
  <si>
    <t>Misc.Grouting</t>
  </si>
  <si>
    <t>Misc. Blocking</t>
  </si>
  <si>
    <t>SP-200</t>
  </si>
  <si>
    <t>1" SPRINKLER PIPE</t>
  </si>
  <si>
    <t>1 1/2" SPRINKLER PIPE</t>
  </si>
  <si>
    <t>1 1/4" SPRINKLER PIPE</t>
  </si>
  <si>
    <t>2" SPRINKLER PIPE</t>
  </si>
  <si>
    <t>4" SPRINKLER PIPE</t>
  </si>
  <si>
    <t>1" CONCEALED SPRINKLER HEADS</t>
  </si>
  <si>
    <t>1" SPRINKLER HEAD</t>
  </si>
  <si>
    <t>1" UPRIGHT SPRINKLER HEADS</t>
  </si>
  <si>
    <t>1 1/2" UPRIGHT SPRINKLER HEADS</t>
  </si>
  <si>
    <t>2" SPRINKLER HEAD PENDANT MOUNTED</t>
  </si>
  <si>
    <t>SPECIAL SPRINKLER WRENCHES</t>
  </si>
  <si>
    <t>1 1/2" SPRINKLER HEAD PENDANT MOUNTED</t>
  </si>
  <si>
    <t>Water Pipe (Type "L" Copper)</t>
  </si>
  <si>
    <t>P-101</t>
  </si>
  <si>
    <t>1/2" Cold Water Pipe</t>
  </si>
  <si>
    <t>1/2" Hot Water Pipe</t>
  </si>
  <si>
    <t>1/2" Hot Water Return Pipe</t>
  </si>
  <si>
    <t>3/4" Cold Water Pipe</t>
  </si>
  <si>
    <t>3/4" Hot Water Pipe</t>
  </si>
  <si>
    <t>3/4" Hot Water Return Pipe</t>
  </si>
  <si>
    <t>1" Cold Water Pipe</t>
  </si>
  <si>
    <t>1" Hot Water Pipe</t>
  </si>
  <si>
    <t>1 1/2" Hot Water Pipe</t>
  </si>
  <si>
    <t>1 1/4" Cold Water Pipe</t>
  </si>
  <si>
    <t>2" Cold Water Pipe</t>
  </si>
  <si>
    <t>3" Cold Water Pipe</t>
  </si>
  <si>
    <t/>
  </si>
  <si>
    <t>FITTING</t>
  </si>
  <si>
    <t>1" 90 Degree Elbow</t>
  </si>
  <si>
    <t>1 1/2" 90 Degree Elbow</t>
  </si>
  <si>
    <t>1 1/2" To 3/4" 90 Degree Elbow</t>
  </si>
  <si>
    <t>1/2" 90 Degree Elbow</t>
  </si>
  <si>
    <t>2" 90 Degree Elbow</t>
  </si>
  <si>
    <t>2" To 1 1/2" 90 Degree Elbow</t>
  </si>
  <si>
    <t>3" 90 Degree Elbow</t>
  </si>
  <si>
    <t>3" To 2" 90 Degree Elbow</t>
  </si>
  <si>
    <t>3/4" 90 Degree Elbow</t>
  </si>
  <si>
    <t>3/4" To 1/2" 90 Degree Elbow</t>
  </si>
  <si>
    <t>1" To 3/4" Tee</t>
  </si>
  <si>
    <t>1 1/2" To 1" Tee</t>
  </si>
  <si>
    <t>1 1/2" To 1/2" Tee</t>
  </si>
  <si>
    <t>2" Tee</t>
  </si>
  <si>
    <t>2" To 1" Tee</t>
  </si>
  <si>
    <t>2" To 1 1/4" Tee</t>
  </si>
  <si>
    <t>2" To 1/2" Tee</t>
  </si>
  <si>
    <t>2" To 3/4" Tee</t>
  </si>
  <si>
    <t>3/4" Tee</t>
  </si>
  <si>
    <t>3/4" To 1/2" Tee</t>
  </si>
  <si>
    <t>VALVE</t>
  </si>
  <si>
    <t>1 1/2" Ball Valve</t>
  </si>
  <si>
    <t>1 1/2" Check Valve</t>
  </si>
  <si>
    <t>1 1/2" Pressure Relief Valve</t>
  </si>
  <si>
    <t>2" Ball Valve</t>
  </si>
  <si>
    <t>Automatic Vent</t>
  </si>
  <si>
    <t>1" Ball Valve</t>
  </si>
  <si>
    <t>1" Thermostat Valve For 3 Gang Shower</t>
  </si>
  <si>
    <t>1" Watts Model M2Qt009 Rpz With Drain To Floor Drain</t>
  </si>
  <si>
    <t>1 1/4" Ball Valve</t>
  </si>
  <si>
    <t>1/2" Ball Valve</t>
  </si>
  <si>
    <t>1/2" Hot Water Return Valve Assembly W/Check Valve And Thermomegatech Model Cs-1/2 Circuit Solver Valve</t>
  </si>
  <si>
    <t>3/4" Ball Valve</t>
  </si>
  <si>
    <t>3/4" Hot Water Return Valve Assembly W/Check Valve And Thermomegatech Model Cs-1/2 Circuit Solver Valve</t>
  </si>
  <si>
    <t>2" Check Valve</t>
  </si>
  <si>
    <t>Paxton Model Tvs43-025 Thermostatic Mixing Valve</t>
  </si>
  <si>
    <t>3/4" Bell And Gossett Ecocire 19-16</t>
  </si>
  <si>
    <t>3" Butterflay Valve</t>
  </si>
  <si>
    <t>6" Butterflay Valve</t>
  </si>
  <si>
    <t>4" Butterflay Valve</t>
  </si>
  <si>
    <t>2 1/2" Butterflay Valve</t>
  </si>
  <si>
    <t>1" Check Valve</t>
  </si>
  <si>
    <t>1" Turnn Union Ball Valve</t>
  </si>
  <si>
    <t>2" Turnn Union Ball Valve</t>
  </si>
  <si>
    <t>1/2" Actuated Valve</t>
  </si>
  <si>
    <t>1 Slow Closing Solenoiid Valve</t>
  </si>
  <si>
    <t>1" Gate Valve</t>
  </si>
  <si>
    <t>Tds Controller</t>
  </si>
  <si>
    <t>Tds Sensor</t>
  </si>
  <si>
    <t>Actuated Valve</t>
  </si>
  <si>
    <t>GAS PIPE (Black Steel Sched 40)</t>
  </si>
  <si>
    <t>2" Gas Pipe</t>
  </si>
  <si>
    <t>2" Gas Pipe (Galvanized Steel)</t>
  </si>
  <si>
    <t>1 1/4" Gas Pipe (Galvanized Steel)</t>
  </si>
  <si>
    <t>2 1/2" Gas Pipe</t>
  </si>
  <si>
    <t>FFITTING</t>
  </si>
  <si>
    <t>1 1/4" 90 Degree Elbow</t>
  </si>
  <si>
    <t>2" To 1 1/4" Reducer</t>
  </si>
  <si>
    <t>2" To 2 1/2" Tee</t>
  </si>
  <si>
    <t>2" Gas Cock</t>
  </si>
  <si>
    <t>1 1/4" Gas Cock</t>
  </si>
  <si>
    <t>SANITARY PIPE (Extra Heavy Cast Iron Soil Pipe)</t>
  </si>
  <si>
    <t>P-100</t>
  </si>
  <si>
    <t>2" Sanitary Pipe</t>
  </si>
  <si>
    <t>2" Sump Pump Discharge Pipe</t>
  </si>
  <si>
    <t>2" Vent Pipe</t>
  </si>
  <si>
    <t>3" Fresh Air Pipe</t>
  </si>
  <si>
    <t>3" Sanitary Pipe</t>
  </si>
  <si>
    <t>3" Vent Pipe</t>
  </si>
  <si>
    <t>4" Sanitary Pipe</t>
  </si>
  <si>
    <t>4" Vent Pipe</t>
  </si>
  <si>
    <t>6" Drain Pipe</t>
  </si>
  <si>
    <t>8" Drain Pipe</t>
  </si>
  <si>
    <t>2" 45 Degree Elbow</t>
  </si>
  <si>
    <t>3" 45 Degree Elbow</t>
  </si>
  <si>
    <t>4" 45 Degree Elbow</t>
  </si>
  <si>
    <t>6" 45 Degree Elbow</t>
  </si>
  <si>
    <t>3" To 2" Tee</t>
  </si>
  <si>
    <t>4" To 3" Tee</t>
  </si>
  <si>
    <t>6" To 3" Tee</t>
  </si>
  <si>
    <t>2" Wye</t>
  </si>
  <si>
    <t>3" To 2" Wye</t>
  </si>
  <si>
    <t>3" Wye</t>
  </si>
  <si>
    <t>4" To 2" Wye</t>
  </si>
  <si>
    <t>4" To 3" Wye</t>
  </si>
  <si>
    <t>4" Wye</t>
  </si>
  <si>
    <t>6" Wye</t>
  </si>
  <si>
    <t>Vtr, 4" Vent Thru Roof</t>
  </si>
  <si>
    <t>Codp, 2" Clean Out Deck Plate</t>
  </si>
  <si>
    <t>Codp, 3" Clean Out Deck Plate</t>
  </si>
  <si>
    <t>Codp, 4" Clean Out Deck Plate</t>
  </si>
  <si>
    <t>Codp, 6" Clean Out Deck Plate</t>
  </si>
  <si>
    <t>Fd, 3" Floor Drain</t>
  </si>
  <si>
    <t>Pool Trench Drain (By Other)</t>
  </si>
  <si>
    <t>Td-1, Trench Drain  (By Other)_x000D_
Manufacturer: Zurn _x000D_
Model: Z-884 _x000D_
Dimension: 4 3/4" X Varies</t>
  </si>
  <si>
    <t>Td-2, Trench Drain (By Other)_x000D_
Manufacturer: Zurn _x000D_
Model: Z-886 _x000D_
Dimension: 6" X 228"</t>
  </si>
  <si>
    <t>SP-4.0</t>
  </si>
  <si>
    <t>1" Acid Rite Influennt Pipe</t>
  </si>
  <si>
    <t>1" Chlorinator Influent Pipee</t>
  </si>
  <si>
    <t>1 1/2" Skimmer Pipe</t>
  </si>
  <si>
    <t>2" Equalizer Piipe</t>
  </si>
  <si>
    <t>2" Hheater Iluent And Effluent Pipe</t>
  </si>
  <si>
    <t>2" Reflacton Pipe</t>
  </si>
  <si>
    <t>2" Skimmer Pipe</t>
  </si>
  <si>
    <t>3"  Skimmeer Pipe</t>
  </si>
  <si>
    <t>3" Skimmer Pipe</t>
  </si>
  <si>
    <t>3/4" Chlorinator Influent Pipee</t>
  </si>
  <si>
    <t>4" Filtered Ppipe</t>
  </si>
  <si>
    <t>8" Fill Pipe</t>
  </si>
  <si>
    <t>FIXTURE</t>
  </si>
  <si>
    <t>3'-0"X3'-0" Shower Pan</t>
  </si>
  <si>
    <t>Ewc-1, Electric Stainless Steel Water Cooler _x000D_
Manufacturer: Elkay _x000D_
Model: Ezstl8Ws (Vr)Lk</t>
  </si>
  <si>
    <t xml:space="preserve">L-1, Wall Mounted Public Lavatory 
Manufacturer: American Standard #0355.012 Lucerne Basin 
Trm Tag: Sensor Faucet With Mixing Valve Watts Lfusg-B 
American Standard #6055.105 (Jr Smith 0700-Z) 
</t>
  </si>
  <si>
    <t>Ss-1, Floor Mounted Service Sink With Hose, Hose Bracket Mob Hanger And Well Guards 
Manufacturer: Fiat Msb-2424 
Trm Tag: Service Sink Faucet B Centers With Vacuum Breaker 
Manufacturer: Fiat #830-Aa With Integral Check Valves 
Accessories: Bracket: Fiat #832-Aa
Mop Hangar: Fiat B89-Cc
Drain Gasket: Fiat Fodc3-2 Splash Panel: Fiat #Msg</t>
  </si>
  <si>
    <t>S-1, Self Rimming Pantry Sink With 2 Nibco Cast Bronze Trap With Cleanout Plug 
Manufacturer: Elkay Lr-1919 
Trm Tag: Kitchen Swivel Type With Lever Handles 8 Center Set 
Manufacturer: Elkay #Lkd24328H Two Lever Faucet</t>
  </si>
  <si>
    <t>Mop Sink</t>
  </si>
  <si>
    <t>Wc-1, Water Closet Floor Mounted Bottem Outlet Flush Valve 
Manufacturer: American Standard Madera Floise Elongated 16" (420Mm) High High Efficiency Het Toilet 3461.128 
Trm Tag: Fv-1, Exposed Battery Powered, Sensor Activated Flush Valve 
Manufacturer: Sloan Optima Plus 8111 Series 1.28 Gpf 
Accessories: Flush Valve Sloan #8111-1.28 Optima Plus Seat American Standard 5905.110 Flange</t>
  </si>
  <si>
    <t>Sh, Shower Head 
Thermostatic Shower Valve &amp; Shower Head 
Mannufacturer: American Standard Model #1662.221</t>
  </si>
  <si>
    <t>Si-1, Sanitary Interceptor _x000D_
4'-6" X 4'-6" X 5'-0" Pit_x000D_
Manufacturer: Jr Smith _x000D_
Model: 8811-150_x000D_
Gallon: 360</t>
  </si>
  <si>
    <t>Sp-1, Sump Pump_x000D_
36" Dia 6'-0" Deep Sump Pit_x000D_
Manufacturer: Weil _x000D_
Model: 1313</t>
  </si>
  <si>
    <t>Hwg-1, Domestic Hot Water Generator _x000D_
Manufacturer: Lochinvar_x000D_
Model: Gvg0200 Jr</t>
  </si>
  <si>
    <t>FFILTER ROOM EQUIPMENT</t>
  </si>
  <si>
    <t>SP-1.3</t>
  </si>
  <si>
    <t xml:space="preserve">Acid Feeder 14.5 Pounds Per Hour Output Capacity, 110 Volt, 1-Phase, 1 H.P. High Pressure Circulation Pump And Motor (Sodium Bisulfate) _x000D_
Westlake: #Acid-Rite </t>
  </si>
  <si>
    <t>Automatic Chemical Controller -110 Volt,_x000D_
1-Phase, W/ Flow Cell, Heat Sensor,_x000D_
Conductivity/Tds And Flowrate Monitoring,_x000D_
Ethernet/Internet Communications, Remote_x000D_
Computer Operation And Wireless Capabilities. And Network Cat-5 Prep Pool Contractor Shall Coordinate Installation And Ensure Remote Access Is Functioning Prior To Completion Of Work_x000D_
Sb Controls Ron Akin: Rakin@Sbcontrols.Com (800.624.2279 Ext. 110)</t>
  </si>
  <si>
    <t>Automatic Chemiicall  Controlller</t>
  </si>
  <si>
    <t xml:space="preserve">Automatic Water Level Controller 110 Volt_x000D_
Levolor: #Lev110Ck/2G </t>
  </si>
  <si>
    <t>Campound Gaugge</t>
  </si>
  <si>
    <t xml:space="preserve">Chlorine Feeder (Calcium Hypochlorite), 67.2 Lbs. Day Capacity With 1 H.P. Circulation Pump And Motor, 110 Volt, 1-Phase _x000D_
Westlake: #Accutab </t>
  </si>
  <si>
    <t>Filter Glass Filter Media Fine Grade 1, Coarse Grade 2, Or Equal, 36" Dia., W/7.06 Sq.Ft. Of Filter Area Each, 11.19 G.P.M./Sq.Ft. Filtration Rate, W/Pressure Gauge And Manual Air Relief Valve, Multi-Port Valve No. 261055 _x000D_
Pentair: #Tr-140C</t>
  </si>
  <si>
    <t>Filtration Pump</t>
  </si>
  <si>
    <t>Filtration Pump And Motor With Integral Strainer, Self-Priming, 237 G.P.M. 80 Ft. T.D.H., 7.5 H.P., 208-230/460 Volt, 3-Phase, 6" Suction, 4" Discharge, W/ Extra Strainer Basket_x000D_
Wiith Extra Strainer Basket Filtration Pump  _x000D_
Pentair: #Eqkt-750</t>
  </si>
  <si>
    <t>Flow Meter #F1000 Series (By Other)</t>
  </si>
  <si>
    <t>Flow Meter G.P.M. Scale 4" Discharge Pipe, 150 ?? 460 G.P.M. Scale _x000D_
H2Flow: #Fv-4</t>
  </si>
  <si>
    <t>Flowmeter 2" Backwash Pipe, 10 ?? 110 G.P.M. Scale G.P.M. Scale _x000D_
H2Flow: #Fv-2</t>
  </si>
  <si>
    <t>In-Line Dechlorination Unit Sodium Sulfite Bio-Max Tablet Erosion Feed _x000D_
Norweco: #Hydra-Maxv</t>
  </si>
  <si>
    <t>Pressure  Gauge</t>
  </si>
  <si>
    <t>Pressure Gauge 0 To 60 Psi Range, 4" Dial, Stainless Steel, Glycerine-Filled _x000D_
Wika: #9699117</t>
  </si>
  <si>
    <t>Telescopic Pole For Vacuum _x000D_
Pentair: #R191090</t>
  </si>
  <si>
    <t>Test Kit D.P.D., Free Chlorine, W/ Cyanuric Acid Test _x000D_
Taylor: #K-2005</t>
  </si>
  <si>
    <t>Thermometer</t>
  </si>
  <si>
    <t>Thermometer 30° ?? 130° Fahrenheit Range With 1° Gradations _x000D_
Letro: #Sl-1</t>
  </si>
  <si>
    <t>Total Dissolved Solids Controller Volt, 1-Phase, By Chlorking Volt, 1-Phase, By Chlorking _x000D_
Supplied And Installed By Chlorking _x000D_
Chlorking: #5000 Tds</t>
  </si>
  <si>
    <t>Total Dissolveed Solids Controller</t>
  </si>
  <si>
    <t>Vacuum Gauge 0 To 30 Hg / 0-30 Psi Range, 4" Dial, Stainless Steel, Glycerine-Filled _x000D_
Wika: #9699045</t>
  </si>
  <si>
    <t>Note: Chlorking Pool Filtration Unit Provided By Owner</t>
  </si>
  <si>
    <t xml:space="preserve">WHITE GGOODS &amp; DECK EQUIPMENT </t>
  </si>
  <si>
    <t>Fill And Reflection Pipe Fittings Connections With Grate #Sp-1026. 2"_x000D_
Hayward: #Sp-1022</t>
  </si>
  <si>
    <t>Hydrostatic Collection Tube _x000D_
Hayward: #Sp-1055</t>
  </si>
  <si>
    <t>Hydrostatic Relief Valve  _x000D_
Hayward: #Sp-1056</t>
  </si>
  <si>
    <t>Surface Skimmer 2" Connections And Equalizer Kit _x000D_
Hayward: #Sp-1082Fve</t>
  </si>
  <si>
    <t>MISC.</t>
  </si>
  <si>
    <t>3/4" Wall Hydrant Flush Moubted Box With Cover</t>
  </si>
  <si>
    <t>Enovative Autohot Temperature Maintenance Rice Pupm Control With Temperature And Flow Snsor</t>
  </si>
  <si>
    <t>Pressure Gauge</t>
  </si>
  <si>
    <t>Temperature Gauge</t>
  </si>
  <si>
    <t xml:space="preserve">Watts Model Deta 30 Thermal Expansion Tank </t>
  </si>
  <si>
    <t>HANGER AND SUPPORTS</t>
  </si>
  <si>
    <t>Hangger And Supports For Pipe
Note: 10'  Sppacing Is Assumed In Hanger And Spports</t>
  </si>
  <si>
    <t xml:space="preserve">1" Thick Fiber Glass Pipe Insulation </t>
  </si>
  <si>
    <t>DUCTS (SHEET METAL)</t>
  </si>
  <si>
    <t>ROUND</t>
  </si>
  <si>
    <t>M-100</t>
  </si>
  <si>
    <t>4" Round Duct</t>
  </si>
  <si>
    <t>10" Round Duct</t>
  </si>
  <si>
    <t>12" Round Duct</t>
  </si>
  <si>
    <t>16" Round Duct</t>
  </si>
  <si>
    <t>18" Round Duct</t>
  </si>
  <si>
    <t>20" Round Duct</t>
  </si>
  <si>
    <t>26" Round Duct</t>
  </si>
  <si>
    <t>6"X6" Rectangular Duct</t>
  </si>
  <si>
    <t>8"X6" Rectangular Duct</t>
  </si>
  <si>
    <t>10"X6" Rectangular Duct</t>
  </si>
  <si>
    <t>10"X8" Rectangular Duct</t>
  </si>
  <si>
    <t>10"X10" Rectangular Duct</t>
  </si>
  <si>
    <t>12"X6" Rectangular Duct</t>
  </si>
  <si>
    <t>12"X12" Rectangular Duct</t>
  </si>
  <si>
    <t>16"X8" Rectangular Duct</t>
  </si>
  <si>
    <t>16"X14" Rectangular Duct</t>
  </si>
  <si>
    <t>18"X6" Rectangular Duct</t>
  </si>
  <si>
    <t>18"X10" Rectangular Duct</t>
  </si>
  <si>
    <t>18"X10" Sox Rectangular Duct</t>
  </si>
  <si>
    <t>20"X20" Rectangular Duct</t>
  </si>
  <si>
    <t>24"X6" Rectangular Duct</t>
  </si>
  <si>
    <t>30"X6" Rectangular Duct</t>
  </si>
  <si>
    <t>36"X14" Sox Rectangular Duct</t>
  </si>
  <si>
    <t>40"X22 Sox Rectangular Duct</t>
  </si>
  <si>
    <t>48"X18" Rectangular Duct</t>
  </si>
  <si>
    <t>4" 90 Degree Elbow</t>
  </si>
  <si>
    <t>6" To 6" 90 Degree Elbow</t>
  </si>
  <si>
    <t>6"X6" 45 Degree Elbow</t>
  </si>
  <si>
    <t>8"X6" 45 Degree Elbow</t>
  </si>
  <si>
    <t>10" 90 Degree Elbow</t>
  </si>
  <si>
    <t>10"X6" 45 Degree Elbow</t>
  </si>
  <si>
    <t>12" To 6" 90 Degree Elbow</t>
  </si>
  <si>
    <t>16" To 8" 90 Degree Elbow</t>
  </si>
  <si>
    <t>16" To 14" 90 Degree Elbow</t>
  </si>
  <si>
    <t>18" To 10" 90 Degree Elbow</t>
  </si>
  <si>
    <t>26" 90 Degree Elbow</t>
  </si>
  <si>
    <t>48"X18" 90 Degree Elbow</t>
  </si>
  <si>
    <t>6"X6" Branch Take-Off</t>
  </si>
  <si>
    <t>10" To 12"X6" Branch Take-Off</t>
  </si>
  <si>
    <t>10" To 12"X12" Branch Take-Off</t>
  </si>
  <si>
    <t>10"X6" Branch Take-Off</t>
  </si>
  <si>
    <t>18"X6" Branch Take-Off</t>
  </si>
  <si>
    <t>24"X6" Branch Take-Off</t>
  </si>
  <si>
    <t>30"X6" Branch Take-Off</t>
  </si>
  <si>
    <t>10"X8" Double Wye</t>
  </si>
  <si>
    <t>16"X14" To 18"X10" Tee</t>
  </si>
  <si>
    <t>26" To 16" Tee</t>
  </si>
  <si>
    <t>26" To 20" Tee</t>
  </si>
  <si>
    <t>16" To 10" Transition</t>
  </si>
  <si>
    <t>16" To 12" Transition</t>
  </si>
  <si>
    <t>16"X14" To 16"X8" Transition</t>
  </si>
  <si>
    <t>18" To 16" Transition</t>
  </si>
  <si>
    <t>20" To 18" Transition</t>
  </si>
  <si>
    <t>8"X6" End Cap</t>
  </si>
  <si>
    <t>10"X8" End Cap</t>
  </si>
  <si>
    <t>10"X10" End Cap</t>
  </si>
  <si>
    <t>12" End Cap</t>
  </si>
  <si>
    <t>12"X12" End Cap</t>
  </si>
  <si>
    <t>26" End Cap</t>
  </si>
  <si>
    <t>GRILLE AND DIFFUSER</t>
  </si>
  <si>
    <t>M-201</t>
  </si>
  <si>
    <t>Cd, 6"X6" (100 Cfm) Diffuser</t>
  </si>
  <si>
    <t>Cd, 12"X12" (200 Cfm) Diffuser</t>
  </si>
  <si>
    <t>Eg, 10"X18" (573 Cfm) Slot Diffuser</t>
  </si>
  <si>
    <t>Eg, 18"X6" (400 Cfm) Grille/Diffuser With Opposed Blade Damper</t>
  </si>
  <si>
    <t>Eg, 18"X10" (560 Cfm) Grille/Diffuser With Opposed Blade Damper</t>
  </si>
  <si>
    <t>Grille (75 Cfm) Grille With Opposed Blade Damper</t>
  </si>
  <si>
    <t>Tg, 12"X12" (0-120 Cfm) Grille/Diffuser With Opposed Blade Damper</t>
  </si>
  <si>
    <t>Tg, 18"X12" (0-120 Cfm)Grille/Diffuser With Opposed Blade Damper</t>
  </si>
  <si>
    <t>Tr, 10"X6" (100 Cfm) Grille/Diffuser With Opposed Blade Damper</t>
  </si>
  <si>
    <t>Tr, 12"X6" (150 Cfm) Grille/Diffuser With Opposed Blade Damper</t>
  </si>
  <si>
    <t>Tr, 18"X6" (250 Cfm) Grille/Diffuser With Opposed Blade Damper</t>
  </si>
  <si>
    <t>Tr, 18"X6" (300 Cfm) Grille/Diffuser With Opposed Blade Damper</t>
  </si>
  <si>
    <t>Tr, 24"X6" (350 Cfm) Grille/Diffuser With Opposed Blade Damper</t>
  </si>
  <si>
    <t>Tr, 30"X6" (500 Cfm) Grille/Diffuser With Opposed Blade Damper</t>
  </si>
  <si>
    <t>VOLUME DAMPPER</t>
  </si>
  <si>
    <t>6"X6" Volume Damper</t>
  </si>
  <si>
    <t>8"X6" Volume Damper</t>
  </si>
  <si>
    <t>10"X6" Volume Damper</t>
  </si>
  <si>
    <t>12"X6" Volume Damper</t>
  </si>
  <si>
    <t>18"X10" Volume Damper</t>
  </si>
  <si>
    <t>Aictw400 Pool Heat Exch</t>
  </si>
  <si>
    <t xml:space="preserve">Amtrol St-20Vc Expancion Tank </t>
  </si>
  <si>
    <t>Co, Sensor</t>
  </si>
  <si>
    <t>Flow Switch</t>
  </si>
  <si>
    <t>High Limit Well</t>
  </si>
  <si>
    <t>Humdistat</t>
  </si>
  <si>
    <t>Remote Panel For Pdu And Rtu</t>
  </si>
  <si>
    <t>Smoke Detector</t>
  </si>
  <si>
    <t>System Sensor Well</t>
  </si>
  <si>
    <t>Thermostat</t>
  </si>
  <si>
    <t>B-1, Boiler _x000D_
Model: Ftx400N _x000D_
Manufacturer: Lochinvar</t>
  </si>
  <si>
    <t xml:space="preserve">Dwh, Pump _x000D_
Size: 1.25X1.25X5.25 _x000D_
Manufacturer: Bell &amp; Gossett _x000D_
Pool Hx _x000D_
Size: 1.25X1.25X5.25 _x000D_
Manufacturer: Bell &amp; Gossett </t>
  </si>
  <si>
    <t>Ef-1, (800 Cfm) Fan With Motorized Damper _x000D_
Model: Du33Hfa _x000D_
Manufacturer: Captivaire</t>
  </si>
  <si>
    <t>Pdu-1, (3300 Cfm) Roof Top Unit _x000D_
Model: Castu3-I.500-18-15T _x000D_
Manufacturer: Captiveaire</t>
  </si>
  <si>
    <t>Pef-1, (1333 Cfm) Fan With Motorized Damper _x000D_
Model: Du85Hfa _x000D_
Manufacturer: Captivaire</t>
  </si>
  <si>
    <t>Pef-2, (1333 Cfm) Fan With Motorized Damper _x000D_
Model: Du85Hfa _x000D_
Manufacturer: Captivaire</t>
  </si>
  <si>
    <t>Rtu-1, (4306 Cfm) Roof Top Unit _x000D_
Model: Castu3-I.250-24-15T _x000D_
Manufacturer: Captiveaire</t>
  </si>
  <si>
    <t>Te-1, (300 Cfm) Fan With Motorized Damper _x000D_
Model: Du12Hfa _x000D_
Manufacturer: Captivaire</t>
  </si>
  <si>
    <t>Te-1, (300 Cfm) Fan With Motorized Damper _x000D_
Model: Du12Hfa _x000D_
Manufacturer: Captiveaire</t>
  </si>
  <si>
    <t>HANGER AND SUPPPORTS</t>
  </si>
  <si>
    <r>
      <t xml:space="preserve">Hangger And Supports For Duct 
</t>
    </r>
    <r>
      <rPr>
        <sz val="11"/>
        <color rgb="FFFF0000"/>
        <rFont val="Arial"/>
        <family val="2"/>
      </rPr>
      <t>Note: 8'  Sppacing Is Assumed In Hanger And Spports</t>
    </r>
  </si>
  <si>
    <r>
      <t xml:space="preserve">1 1/2" Minral Fiber Glass Duct Insulation 
</t>
    </r>
    <r>
      <rPr>
        <sz val="11"/>
        <color rgb="FFFF0000"/>
        <rFont val="Arial"/>
        <family val="2"/>
      </rPr>
      <t>Note: Insulation Material And Thhickness Is Assumed</t>
    </r>
  </si>
  <si>
    <t>E-100</t>
  </si>
  <si>
    <t>3 1/2"C RMC</t>
  </si>
  <si>
    <t>3 1/2"C EMT</t>
  </si>
  <si>
    <t>Conductor</t>
  </si>
  <si>
    <t>#350 THHN</t>
  </si>
  <si>
    <t xml:space="preserve">#1 THHN </t>
  </si>
  <si>
    <t xml:space="preserve">#4 THHN </t>
  </si>
  <si>
    <t xml:space="preserve">#6 THHN </t>
  </si>
  <si>
    <t>#8 Bare Copper (Solid)</t>
  </si>
  <si>
    <t>6Mm X 50Mm (1/4" X 2") Long Copper Ground Bus</t>
  </si>
  <si>
    <t>Bonding With Exothermic Weld</t>
  </si>
  <si>
    <t>Panel</t>
  </si>
  <si>
    <t>MDP, 600A, 120/208V, 3Ph, 4W, 35 Kaic, 42 Pole, Main Distribution Panel</t>
  </si>
  <si>
    <t>LVA, 200A, 120/208V, 3Ph, 4W, 42 Pole Panel</t>
  </si>
  <si>
    <t xml:space="preserve">Breakers </t>
  </si>
  <si>
    <t>E-300</t>
  </si>
  <si>
    <t>20A/1P Circuit Breaker</t>
  </si>
  <si>
    <t>20A/1P Circuit Breaker Gfci</t>
  </si>
  <si>
    <t>20A/2P Circuit Breaker</t>
  </si>
  <si>
    <t>40A/3P Circuit Breaker</t>
  </si>
  <si>
    <t>80A/3P Circuit Breaker</t>
  </si>
  <si>
    <t>125A/3P Circuit Breaker</t>
  </si>
  <si>
    <t>Disconnect</t>
  </si>
  <si>
    <t>25A/2P Non-Fused Disconnect Switch</t>
  </si>
  <si>
    <t>60A/3, Non-Fused Heavy Duty Disconnect Switch Nema 4X</t>
  </si>
  <si>
    <t>100A/3, 80A-Fused Heavy Duty Disconnect Switch Nema-3R</t>
  </si>
  <si>
    <t>100A/3, Fused Heavy Duty Disconnect Switch Nema-3R</t>
  </si>
  <si>
    <t>Misc.</t>
  </si>
  <si>
    <t>Saw Cutting And Back Filling</t>
  </si>
  <si>
    <t>E200</t>
  </si>
  <si>
    <t>E-200</t>
  </si>
  <si>
    <t>3/4"C EMT</t>
  </si>
  <si>
    <t>3/4"C RGS</t>
  </si>
  <si>
    <t>1/2"C EMT</t>
  </si>
  <si>
    <t>#12 THHN SOLID</t>
  </si>
  <si>
    <t>#12 THW SOLID</t>
  </si>
  <si>
    <t>#18 THHN SOLID</t>
  </si>
  <si>
    <t>#12/3C SOLID MC</t>
  </si>
  <si>
    <t>1 1/4"C EMT</t>
  </si>
  <si>
    <t>1 1/4"C LFMC</t>
  </si>
  <si>
    <t>1 1/4"C RGS</t>
  </si>
  <si>
    <t>1 1/2"C RMC</t>
  </si>
  <si>
    <t>1"C RMC</t>
  </si>
  <si>
    <t>1"C EMT</t>
  </si>
  <si>
    <t>3/4"C RMC</t>
  </si>
  <si>
    <t>3/4"C PVC</t>
  </si>
  <si>
    <t>#4 THW</t>
  </si>
  <si>
    <t>#8 THHN</t>
  </si>
  <si>
    <t>#8 THW</t>
  </si>
  <si>
    <t>#10 THHN SOLID</t>
  </si>
  <si>
    <t>#10 THW SOLID</t>
  </si>
  <si>
    <t>PULL STRING</t>
  </si>
  <si>
    <t>Duplex Receptacle</t>
  </si>
  <si>
    <t>Duplex Receptacle Gfci</t>
  </si>
  <si>
    <t>Duplex Receptacle Wp/Gfci</t>
  </si>
  <si>
    <t>Ebb-1, Electric Baseboard Heater _x000D_
Model: Hbb750_x000D_
Manufacturer: Qmark</t>
  </si>
  <si>
    <t>Ebb21, Electric Baseboard Heater _x000D_
Model: Hbb1250_x000D_
Manufacturer: Qmark</t>
  </si>
  <si>
    <t>Epo, Emergency Weatherproof Power-Off Pushbutton With Cover</t>
  </si>
  <si>
    <t>Floor Mounted Combination Voice/Data 20A, 125V Duplex Receoptacle</t>
  </si>
  <si>
    <t>Junction Box</t>
  </si>
  <si>
    <t>Junction Box Nema-3R</t>
  </si>
  <si>
    <t>Motor Rated Switch</t>
  </si>
  <si>
    <t>Pool Equipment Emergency Power Off Button</t>
  </si>
  <si>
    <t>Pool Heater Emergency Power Off Button</t>
  </si>
  <si>
    <t>Pull Box</t>
  </si>
  <si>
    <t>Quad Receptacle</t>
  </si>
  <si>
    <t>Relay</t>
  </si>
  <si>
    <t>Usb Receptacle</t>
  </si>
  <si>
    <t>LIGHTING FIXTURE (BY OWNER)</t>
  </si>
  <si>
    <t>A-202</t>
  </si>
  <si>
    <t>B, Cord Hung High Bay Fixture With Frosted Glass Lens, Ip65 Rated</t>
  </si>
  <si>
    <t>B1, Cord Hung High Bay Fixture With Frosted Glass Lens, Ip65 Rated</t>
  </si>
  <si>
    <t>C, Track Head On Compatible 4 Foot (48") Track</t>
  </si>
  <si>
    <t>E, Wall Mounted Light Fixture, Cast Aluminum Housing &amp; Guard, Frosted Glass Globe</t>
  </si>
  <si>
    <t>Eb, 2 Head Emergency Light</t>
  </si>
  <si>
    <t>Ex3, Combination Universal Mount Exit Sign/Emergency Battery Unit, (3) Adjustable Heads, Remote Capable</t>
  </si>
  <si>
    <t>Ex3, Combination Universal Mount Exit Sign/Emergency Battery Unit, (3) Adjustable Heads, Remote Capable Wall Mounted</t>
  </si>
  <si>
    <t>F12, Cord Hung 12" Diameter Acrylic Pendant Globe Light Fixture</t>
  </si>
  <si>
    <t>F16, Cord Hung 16" Diameter Acrylic Pendant Globe Light Fixture</t>
  </si>
  <si>
    <t>F20, Cord Hung 20" Diameter Acrylic Pendant Globe Light Fixture</t>
  </si>
  <si>
    <t>G, 4' Led Linear Strip Light Fixture</t>
  </si>
  <si>
    <t>H, 4'-0" Chain Hung Fiberglass Housing Led Vaportight Wattage &amp; Cct Selectable Light Fixture, Ip65 Rated</t>
  </si>
  <si>
    <t>J, 2 X 4 Lay-In, Indirect Troffer, With Drywall Flange Kit</t>
  </si>
  <si>
    <t>K, Surface Downlight 8" Dia. With Integral Diffuse Lens</t>
  </si>
  <si>
    <t>LIGHTING SUPPORTS</t>
  </si>
  <si>
    <t>Junction Box Weather Proof</t>
  </si>
  <si>
    <t>Ceiling Mounted Photodensor Wattstopper Lmls-400</t>
  </si>
  <si>
    <t>Ceiling Mounted Wattstopper Multi Technology Occupancy Sensor Wattstopper Dt300</t>
  </si>
  <si>
    <t>Ceiling Mounted Wattstopper Multi Technology Occupancy Sensor Wattstopper Lmdc-100</t>
  </si>
  <si>
    <t>Dual Tech Wall Switch Occupancy Sensor - Dw100</t>
  </si>
  <si>
    <t>Lcp-1, Lighting Control Panel</t>
  </si>
  <si>
    <t>Lmrc, Dimming Room Controller Wattstopper Lmrc-213 (3 Relays)</t>
  </si>
  <si>
    <t>Photocell</t>
  </si>
  <si>
    <t>Single Pole Low Voltage Switch</t>
  </si>
  <si>
    <t>Single Pole Switch</t>
  </si>
  <si>
    <t>Time Clock</t>
  </si>
  <si>
    <t>Wattstopper Low Voltage Dimming Wall Switch Lmdm-101</t>
  </si>
  <si>
    <t>LOW VOLTAGE SYSTEM</t>
  </si>
  <si>
    <t>2"C EMT</t>
  </si>
  <si>
    <t>Pull String</t>
  </si>
  <si>
    <t>#14 THHN Solid</t>
  </si>
  <si>
    <t>CAT 6 Cable</t>
  </si>
  <si>
    <t>RG6 Cable</t>
  </si>
  <si>
    <t>Combination Voice/Data Outlet Rj45 Computer &amp; Rj 45 Voice Outlet</t>
  </si>
  <si>
    <t>Data Outlet Ceiling Mounted</t>
  </si>
  <si>
    <t>Emergency Phone (By Other With Owner)</t>
  </si>
  <si>
    <t>Speaker Ceilingmounted</t>
  </si>
  <si>
    <t>Television Outlet With Rg6</t>
  </si>
  <si>
    <t>Back Box</t>
  </si>
  <si>
    <t>FIRE ALARM SYSTEM</t>
  </si>
  <si>
    <t>#16 THHN Solid</t>
  </si>
  <si>
    <t>CAT6 Cable</t>
  </si>
  <si>
    <t>Carbon Monoxide Detector</t>
  </si>
  <si>
    <t>Fire Alarm Area Smoke Detector</t>
  </si>
  <si>
    <t>Fire Alarm Area Thermal/Heat Detector</t>
  </si>
  <si>
    <t>Fire Alarm Duct Smoke Detector W/Remote Indicator And Wall Key Test Switch W/Red Light</t>
  </si>
  <si>
    <t>Fire Alarm Manual Pull Station</t>
  </si>
  <si>
    <t>Fire Alarm Multi Candela Combination Horn And Strobe Ceiling Mounted</t>
  </si>
  <si>
    <t>Fire Alarm Multi Candela Combination Horn And Strobe Wall Mounted</t>
  </si>
  <si>
    <t>Fire Alarm Relay</t>
  </si>
  <si>
    <t>Fire Alarm Relay Weatherproof</t>
  </si>
  <si>
    <t>Fire Alarm Single/Dual Input Control Module</t>
  </si>
  <si>
    <t>Notification Appliance Circuit</t>
  </si>
  <si>
    <t>Remote Annunciator</t>
  </si>
  <si>
    <t>Wall Fire Alarm Strobe</t>
  </si>
  <si>
    <t>Weatherproof Fire Alarm Multi Candela Combination Horn And Strobe Wall Mounted</t>
  </si>
  <si>
    <r>
      <t xml:space="preserve">Security Camera 
</t>
    </r>
    <r>
      <rPr>
        <sz val="11"/>
        <color rgb="FFFF0000"/>
        <rFont val="Arial"/>
        <family val="2"/>
      </rPr>
      <t>Note: Supplied By Franchisee And Install By Gc</t>
    </r>
  </si>
  <si>
    <t>LOUVER</t>
  </si>
  <si>
    <t>A-201</t>
  </si>
  <si>
    <t>(4' X 5'-6") V2KS, 2" DEEP 45 DEGREE INVERTED K BLADE EXTRUDED ALUMINUM LOUVERED EQUIPMENT SCREEN</t>
  </si>
  <si>
    <t xml:space="preserve">GOLD FISH SWIM SCHOOL </t>
  </si>
  <si>
    <t>6350 JERICHO TURNPIKE COMMACK, NY 11725</t>
  </si>
  <si>
    <t>Project Scope: GC</t>
  </si>
  <si>
    <t>Project Scope: MECHANICAL</t>
  </si>
  <si>
    <t>ALTERNATE 1COST</t>
  </si>
  <si>
    <t>Project Scope: LANDSCAPING</t>
  </si>
  <si>
    <t>Faux palm tree</t>
  </si>
  <si>
    <t>ALTERNATE 2 COST</t>
  </si>
  <si>
    <t>FIBER CEMENT SIDING</t>
  </si>
  <si>
    <t>Fiber cement composite vertical panel - painted (FCS-1)</t>
  </si>
  <si>
    <t>(3-1/2"x3/4") Wood composite trim board - painted (FCS-2)</t>
  </si>
  <si>
    <t>Project Scope: FIBER CEMENT SIDING - HUT</t>
  </si>
  <si>
    <t>ALTERNATE 3 - HUT COST</t>
  </si>
  <si>
    <t>Project Scope: FIBER CEMENT SIDING - VESTIBULE</t>
  </si>
  <si>
    <t>Project Scope: FIBER CEMENT SIDING - IT/ OFFICE</t>
  </si>
  <si>
    <t>FRT Wood rafters @ 16"O.C.</t>
  </si>
  <si>
    <t>Hardware Set #1
(3) HINGES
(1) STOREROOM LOCK
(1) DOOR CLOSER
(1) DOOR SWEEP
(1) WALL STOP
(1) KICK PLATE, 8"</t>
  </si>
  <si>
    <t>Hardware Set #2
(4) HINGES
(1) EXIT DEVICE TRIM (HANDLE)
(1) WALL STOP
(1) DUTCH DOOR BOLT
(1) WALL STOP</t>
  </si>
  <si>
    <t>Hardware Set #3
(3) HINGES
(1) EXIT DEVICE TRIM (HANDLE)
(1) WALL STOP
(1) KICK PLATE, 8"
ASA STRIKE</t>
  </si>
  <si>
    <t>Hardware Set #4
(1) CONTINUOUS HINGE
(1) EXIT DEVICE TRIM (HANDLE)
(1) CYLINDER LOCK
(1) EXIT DEVICE
(1) DOOR CLOSER
(2) DOOR SWEEP
(1) WALL STOP</t>
  </si>
  <si>
    <t>Hardware Set #6
(3) HINGES
(1) EXIT DEVICE TRIM (HANDLE)
(1) DOOR CLOSER
(1) KICK PLATE, 8"
(1) WALL STOP</t>
  </si>
  <si>
    <t>Hardware Set #7
(3) HINGES
(1) EXIT DEVICE TRIM (HANDLE)
(1) WALL STOP
ASA STRIKE</t>
  </si>
  <si>
    <t>Hardware Set #9
(3) HINGES
(1) EXIT DEVICE
(1) EXIT DEVICE TRIM (HANDLE)
(1) DOOR CLOSER
(1) DOOR THRESHOLD
(1) DOOR SWEEP
(1) CYLINDER LOCK</t>
  </si>
  <si>
    <t>Hardware Set #10
(1) CONTINUOUS HINGE
(1) EXIT DEVICE TRIM (HANDLE)
(1) CYLINDER LOCK
(1) EXIT DEVICE
(1) DOOR CLOSER
(1) DOOR SWEEP
(1) FLOOR STOP
(1) DOOR THRESHOLD</t>
  </si>
  <si>
    <t>Hardware Set #11
(1) CONTINUOUS HINGE
(1) EXIT DEVICE TRIM (HANDLE)
(1) EXIT DEVICE
(1) DOOR CLOSER
(1) DOOR SWEEP
(1) FLOOR STOP</t>
  </si>
  <si>
    <t>Hardware Set #13
(3) HINGES
(1) EXIT DEVICE TRIM (HANDLE)
(1) DOOR CLOSER
(1) WALL STOP
(1) KICK PLATE</t>
  </si>
  <si>
    <t>HSS 6x6x5/16 = 34 LF</t>
  </si>
  <si>
    <t>L 3x3x1/4 = 23 LF</t>
  </si>
  <si>
    <t>Misc. Connections,welding etc. @ 5%</t>
  </si>
  <si>
    <t>TONS</t>
  </si>
  <si>
    <t xml:space="preserve">GOLDFISH SWIM SCHOOL </t>
  </si>
  <si>
    <t>ALTERNATE 5 - IT OFFICE COST</t>
  </si>
  <si>
    <t>ALTERNATE 4 - VESTIBULE COST</t>
  </si>
  <si>
    <r>
      <t xml:space="preserve">Corrugated metal roofing (MTL-1)
</t>
    </r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Construction material supplied by O.S.R.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</si>
</sst>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[$$-409]* #,##0.00_ ;_-[$$-409]* \-#,##0.00\ ;_-[$$-409]* &quot;-&quot;??_ ;_-@_ "/>
    <numFmt numFmtId="167" formatCode="_-* #,##0.00_-;\-* #,##0.00_-;_-* &quot;-&quot;_-;_-@_-"/>
    <numFmt numFmtId="168" formatCode="_-[$$-409]* #,##0_ ;_-[$$-409]* \-#,##0\ ;_-[$$-409]* &quot;-&quot;??_ ;_-@_ "/>
    <numFmt numFmtId="169" formatCode="_(&quot;$&quot;* #,##0_);_(&quot;$&quot;* \(#,##0\);_(&quot;$&quot;* &quot;-&quot;??_);_(@_)"/>
    <numFmt numFmtId="170" formatCode="00\ 00\ 00"/>
    <numFmt numFmtId="171" formatCode="&quot;$&quot;#,##0.00"/>
    <numFmt numFmtId="172" formatCode="[$-F800]dddd\,\ mmmm\ dd\,\ yyyy"/>
    <numFmt numFmtId="173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name val="Cambria"/>
      <family val="1"/>
    </font>
    <font>
      <b/>
      <sz val="14"/>
      <name val="Times New Roman"/>
      <family val="1"/>
    </font>
    <font>
      <b/>
      <sz val="14"/>
      <name val="Arial"/>
      <family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5" borderId="37" applyNumberFormat="0" applyFont="0" applyAlignment="0" applyProtection="0"/>
    <xf numFmtId="0" fontId="33" fillId="9" borderId="1" applyBorder="0">
      <alignment horizontal="center" vertical="center" wrapText="1"/>
    </xf>
    <xf numFmtId="166" fontId="5" fillId="10" borderId="46" applyBorder="0">
      <alignment horizontal="center" vertical="center"/>
    </xf>
  </cellStyleXfs>
  <cellXfs count="301">
    <xf numFmtId="0" fontId="0" fillId="0" borderId="0" xfId="0"/>
    <xf numFmtId="166" fontId="5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9" fontId="3" fillId="0" borderId="28" xfId="1" applyNumberFormat="1" applyFont="1" applyBorder="1" applyAlignment="1">
      <alignment horizontal="center" vertical="center"/>
    </xf>
    <xf numFmtId="169" fontId="3" fillId="0" borderId="28" xfId="1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0" fillId="0" borderId="9" xfId="4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4" fontId="0" fillId="0" borderId="26" xfId="4" applyFont="1" applyBorder="1" applyAlignment="1">
      <alignment vertical="center"/>
    </xf>
    <xf numFmtId="9" fontId="0" fillId="0" borderId="13" xfId="2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4" fillId="0" borderId="3" xfId="2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43" fontId="0" fillId="0" borderId="9" xfId="4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66" fontId="5" fillId="0" borderId="29" xfId="0" applyNumberFormat="1" applyFont="1" applyBorder="1" applyAlignment="1">
      <alignment vertical="center"/>
    </xf>
    <xf numFmtId="169" fontId="3" fillId="4" borderId="41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166" fontId="0" fillId="3" borderId="9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6" fillId="8" borderId="16" xfId="0" quotePrefix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0" fontId="11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7" fontId="11" fillId="0" borderId="40" xfId="4" applyNumberFormat="1" applyFont="1" applyFill="1" applyBorder="1" applyAlignment="1">
      <alignment horizontal="center" vertical="center" wrapText="1"/>
    </xf>
    <xf numFmtId="166" fontId="11" fillId="0" borderId="40" xfId="0" applyNumberFormat="1" applyFont="1" applyBorder="1" applyAlignment="1">
      <alignment horizontal="center" vertical="center" wrapText="1"/>
    </xf>
    <xf numFmtId="168" fontId="11" fillId="0" borderId="40" xfId="4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5" fillId="2" borderId="18" xfId="0" applyFont="1" applyFill="1" applyBorder="1" applyAlignment="1">
      <alignment vertical="center"/>
    </xf>
    <xf numFmtId="166" fontId="16" fillId="3" borderId="3" xfId="1" applyNumberFormat="1" applyFont="1" applyFill="1" applyBorder="1" applyAlignment="1">
      <alignment horizontal="center" vertical="center"/>
    </xf>
    <xf numFmtId="167" fontId="13" fillId="2" borderId="0" xfId="4" applyNumberFormat="1" applyFont="1" applyFill="1" applyBorder="1" applyAlignment="1">
      <alignment horizontal="center" vertical="center"/>
    </xf>
    <xf numFmtId="166" fontId="13" fillId="2" borderId="0" xfId="1" applyNumberFormat="1" applyFont="1" applyFill="1" applyBorder="1" applyAlignment="1">
      <alignment horizontal="center" vertical="center"/>
    </xf>
    <xf numFmtId="168" fontId="13" fillId="2" borderId="0" xfId="4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vertical="center"/>
    </xf>
    <xf numFmtId="0" fontId="17" fillId="6" borderId="44" xfId="5" applyFont="1" applyFill="1" applyBorder="1" applyAlignment="1">
      <alignment vertical="center" wrapText="1"/>
    </xf>
    <xf numFmtId="0" fontId="17" fillId="6" borderId="39" xfId="5" applyFont="1" applyFill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70" fontId="18" fillId="0" borderId="1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" fontId="13" fillId="0" borderId="8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9" fontId="19" fillId="2" borderId="8" xfId="2" applyFont="1" applyFill="1" applyBorder="1" applyAlignment="1">
      <alignment horizontal="center" vertical="center"/>
    </xf>
    <xf numFmtId="1" fontId="19" fillId="2" borderId="8" xfId="3" applyNumberFormat="1" applyFont="1" applyFill="1" applyBorder="1" applyAlignment="1">
      <alignment horizontal="center" vertical="center"/>
    </xf>
    <xf numFmtId="171" fontId="19" fillId="2" borderId="8" xfId="1" applyNumberFormat="1" applyFont="1" applyFill="1" applyBorder="1" applyAlignment="1">
      <alignment horizontal="center" vertical="center"/>
    </xf>
    <xf numFmtId="171" fontId="13" fillId="2" borderId="8" xfId="1" applyNumberFormat="1" applyFont="1" applyFill="1" applyBorder="1" applyAlignment="1">
      <alignment horizontal="center" vertical="center"/>
    </xf>
    <xf numFmtId="171" fontId="13" fillId="2" borderId="7" xfId="1" applyNumberFormat="1" applyFont="1" applyFill="1" applyBorder="1" applyAlignment="1">
      <alignment horizontal="center" vertical="center"/>
    </xf>
    <xf numFmtId="2" fontId="13" fillId="2" borderId="8" xfId="4" applyNumberFormat="1" applyFont="1" applyFill="1" applyBorder="1" applyAlignment="1">
      <alignment horizontal="center" vertical="center"/>
    </xf>
    <xf numFmtId="171" fontId="13" fillId="2" borderId="11" xfId="1" applyNumberFormat="1" applyFont="1" applyFill="1" applyBorder="1" applyAlignment="1">
      <alignment horizontal="center" vertical="center"/>
    </xf>
    <xf numFmtId="171" fontId="14" fillId="0" borderId="9" xfId="0" applyNumberFormat="1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/>
    </xf>
    <xf numFmtId="170" fontId="20" fillId="0" borderId="25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1" fontId="21" fillId="0" borderId="8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0" fontId="11" fillId="2" borderId="1" xfId="3" applyFont="1" applyFill="1" applyBorder="1" applyAlignment="1">
      <alignment vertical="center"/>
    </xf>
    <xf numFmtId="0" fontId="11" fillId="2" borderId="2" xfId="3" applyFont="1" applyFill="1" applyBorder="1" applyAlignment="1">
      <alignment vertical="center"/>
    </xf>
    <xf numFmtId="166" fontId="16" fillId="2" borderId="2" xfId="1" applyNumberFormat="1" applyFont="1" applyFill="1" applyBorder="1" applyAlignment="1">
      <alignment horizontal="center" vertical="center"/>
    </xf>
    <xf numFmtId="166" fontId="16" fillId="2" borderId="3" xfId="4" applyNumberFormat="1" applyFont="1" applyFill="1" applyBorder="1" applyAlignment="1">
      <alignment horizontal="center" vertical="center"/>
    </xf>
    <xf numFmtId="2" fontId="16" fillId="2" borderId="3" xfId="4" applyNumberFormat="1" applyFont="1" applyFill="1" applyBorder="1" applyAlignment="1">
      <alignment horizontal="center" vertical="center"/>
    </xf>
    <xf numFmtId="168" fontId="16" fillId="0" borderId="3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70" fontId="13" fillId="0" borderId="12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vertical="center"/>
    </xf>
    <xf numFmtId="170" fontId="16" fillId="0" borderId="12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70" fontId="16" fillId="0" borderId="25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7" borderId="37" xfId="5" applyFont="1" applyFill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170" fontId="13" fillId="0" borderId="25" xfId="0" applyNumberFormat="1" applyFont="1" applyBorder="1" applyAlignment="1">
      <alignment horizontal="center" vertical="center"/>
    </xf>
    <xf numFmtId="166" fontId="16" fillId="8" borderId="2" xfId="1" applyNumberFormat="1" applyFont="1" applyFill="1" applyBorder="1" applyAlignment="1">
      <alignment horizontal="center" vertical="center"/>
    </xf>
    <xf numFmtId="166" fontId="16" fillId="8" borderId="3" xfId="4" applyNumberFormat="1" applyFont="1" applyFill="1" applyBorder="1" applyAlignment="1">
      <alignment horizontal="center" vertical="center"/>
    </xf>
    <xf numFmtId="2" fontId="16" fillId="8" borderId="3" xfId="4" applyNumberFormat="1" applyFont="1" applyFill="1" applyBorder="1" applyAlignment="1">
      <alignment horizontal="center" vertical="center"/>
    </xf>
    <xf numFmtId="168" fontId="16" fillId="8" borderId="3" xfId="0" applyNumberFormat="1" applyFont="1" applyFill="1" applyBorder="1" applyAlignment="1">
      <alignment vertical="center"/>
    </xf>
    <xf numFmtId="168" fontId="11" fillId="0" borderId="3" xfId="1" applyNumberFormat="1" applyFont="1" applyFill="1" applyBorder="1" applyAlignment="1">
      <alignment horizontal="right" vertical="center"/>
    </xf>
    <xf numFmtId="2" fontId="11" fillId="0" borderId="3" xfId="1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vertical="center"/>
    </xf>
    <xf numFmtId="0" fontId="24" fillId="2" borderId="34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170" fontId="13" fillId="2" borderId="0" xfId="0" applyNumberFormat="1" applyFont="1" applyFill="1" applyAlignment="1">
      <alignment horizontal="center" vertical="center"/>
    </xf>
    <xf numFmtId="0" fontId="25" fillId="2" borderId="34" xfId="0" applyFont="1" applyFill="1" applyBorder="1" applyAlignment="1">
      <alignment vertical="center" wrapText="1"/>
    </xf>
    <xf numFmtId="0" fontId="25" fillId="2" borderId="30" xfId="0" applyFont="1" applyFill="1" applyBorder="1" applyAlignment="1">
      <alignment vertical="center" wrapText="1"/>
    </xf>
    <xf numFmtId="0" fontId="26" fillId="2" borderId="17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167" fontId="13" fillId="2" borderId="14" xfId="4" applyNumberFormat="1" applyFont="1" applyFill="1" applyBorder="1" applyAlignment="1">
      <alignment horizontal="center" vertical="center"/>
    </xf>
    <xf numFmtId="167" fontId="13" fillId="2" borderId="15" xfId="4" applyNumberFormat="1" applyFont="1" applyFill="1" applyBorder="1" applyAlignment="1">
      <alignment horizontal="center" vertical="center"/>
    </xf>
    <xf numFmtId="170" fontId="13" fillId="2" borderId="15" xfId="4" applyNumberFormat="1" applyFont="1" applyFill="1" applyBorder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4" applyNumberFormat="1" applyFont="1" applyAlignment="1">
      <alignment horizontal="center" vertical="center"/>
    </xf>
    <xf numFmtId="168" fontId="13" fillId="0" borderId="0" xfId="4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9" fontId="0" fillId="0" borderId="8" xfId="2" applyFont="1" applyFill="1" applyBorder="1" applyAlignment="1">
      <alignment vertical="center"/>
    </xf>
    <xf numFmtId="169" fontId="3" fillId="0" borderId="29" xfId="1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73" fontId="13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6" fontId="5" fillId="10" borderId="2" xfId="7" applyBorder="1">
      <alignment horizontal="center" vertical="center"/>
    </xf>
    <xf numFmtId="166" fontId="5" fillId="10" borderId="37" xfId="7" applyBorder="1">
      <alignment horizontal="center" vertical="center"/>
    </xf>
    <xf numFmtId="166" fontId="5" fillId="10" borderId="8" xfId="7" applyBorder="1">
      <alignment horizontal="center" vertical="center"/>
    </xf>
    <xf numFmtId="166" fontId="20" fillId="10" borderId="37" xfId="7" applyFont="1" applyBorder="1" applyAlignment="1">
      <alignment horizontal="left" vertical="center"/>
    </xf>
    <xf numFmtId="166" fontId="20" fillId="10" borderId="2" xfId="7" applyFont="1" applyBorder="1">
      <alignment horizontal="center" vertical="center"/>
    </xf>
    <xf numFmtId="0" fontId="36" fillId="0" borderId="3" xfId="0" applyFont="1" applyBorder="1" applyAlignment="1">
      <alignment vertical="center" wrapText="1"/>
    </xf>
    <xf numFmtId="0" fontId="35" fillId="9" borderId="44" xfId="6" applyFont="1" applyBorder="1">
      <alignment horizontal="center" vertical="center" wrapText="1"/>
    </xf>
    <xf numFmtId="0" fontId="35" fillId="9" borderId="39" xfId="6" applyFont="1" applyBorder="1">
      <alignment horizontal="center" vertical="center" wrapText="1"/>
    </xf>
    <xf numFmtId="0" fontId="35" fillId="9" borderId="37" xfId="6" applyFont="1" applyBorder="1">
      <alignment horizontal="center" vertical="center" wrapText="1"/>
    </xf>
    <xf numFmtId="0" fontId="35" fillId="9" borderId="38" xfId="6" applyFont="1" applyBorder="1">
      <alignment horizontal="center" vertical="center" wrapText="1"/>
    </xf>
    <xf numFmtId="0" fontId="35" fillId="9" borderId="0" xfId="6" applyFont="1" applyBorder="1">
      <alignment horizontal="center" vertical="center" wrapText="1"/>
    </xf>
    <xf numFmtId="0" fontId="35" fillId="9" borderId="45" xfId="6" applyFont="1" applyBorder="1">
      <alignment horizontal="center" vertical="center" wrapText="1"/>
    </xf>
    <xf numFmtId="166" fontId="20" fillId="10" borderId="8" xfId="7" applyFont="1" applyBorder="1" applyAlignment="1">
      <alignment horizontal="left" vertical="center"/>
    </xf>
    <xf numFmtId="166" fontId="5" fillId="10" borderId="3" xfId="7" applyBorder="1">
      <alignment horizontal="center" vertical="center"/>
    </xf>
    <xf numFmtId="166" fontId="20" fillId="10" borderId="37" xfId="7" applyFont="1" applyBorder="1">
      <alignment horizontal="center" vertical="center"/>
    </xf>
    <xf numFmtId="166" fontId="20" fillId="10" borderId="3" xfId="7" applyFont="1" applyBorder="1">
      <alignment horizontal="center" vertical="center"/>
    </xf>
    <xf numFmtId="166" fontId="5" fillId="10" borderId="9" xfId="7" applyBorder="1">
      <alignment horizontal="center" vertical="center"/>
    </xf>
    <xf numFmtId="0" fontId="33" fillId="9" borderId="1" xfId="6" applyBorder="1">
      <alignment horizontal="center" vertical="center" wrapText="1"/>
    </xf>
    <xf numFmtId="0" fontId="33" fillId="9" borderId="4" xfId="6" applyBorder="1">
      <alignment horizontal="center" vertical="center" wrapText="1"/>
    </xf>
    <xf numFmtId="0" fontId="33" fillId="9" borderId="2" xfId="6" applyBorder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8" fontId="16" fillId="2" borderId="1" xfId="1" applyNumberFormat="1" applyFont="1" applyFill="1" applyBorder="1" applyAlignment="1">
      <alignment horizontal="center" vertical="center"/>
    </xf>
    <xf numFmtId="168" fontId="16" fillId="2" borderId="2" xfId="1" applyNumberFormat="1" applyFont="1" applyFill="1" applyBorder="1" applyAlignment="1">
      <alignment horizontal="center" vertical="center"/>
    </xf>
    <xf numFmtId="171" fontId="13" fillId="2" borderId="10" xfId="1" applyNumberFormat="1" applyFont="1" applyFill="1" applyBorder="1" applyAlignment="1">
      <alignment horizontal="center" vertical="center"/>
    </xf>
    <xf numFmtId="171" fontId="13" fillId="2" borderId="13" xfId="1" applyNumberFormat="1" applyFont="1" applyFill="1" applyBorder="1" applyAlignment="1">
      <alignment horizontal="center" vertical="center"/>
    </xf>
    <xf numFmtId="171" fontId="13" fillId="2" borderId="7" xfId="1" applyNumberFormat="1" applyFont="1" applyFill="1" applyBorder="1" applyAlignment="1">
      <alignment horizontal="center" vertical="center"/>
    </xf>
    <xf numFmtId="2" fontId="13" fillId="2" borderId="10" xfId="4" applyNumberFormat="1" applyFont="1" applyFill="1" applyBorder="1" applyAlignment="1">
      <alignment horizontal="center" vertical="center"/>
    </xf>
    <xf numFmtId="2" fontId="13" fillId="2" borderId="13" xfId="4" applyNumberFormat="1" applyFont="1" applyFill="1" applyBorder="1" applyAlignment="1">
      <alignment horizontal="center" vertical="center"/>
    </xf>
    <xf numFmtId="2" fontId="13" fillId="2" borderId="7" xfId="4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166" fontId="20" fillId="10" borderId="1" xfId="7" applyFont="1" applyBorder="1">
      <alignment horizontal="center" vertical="center"/>
    </xf>
    <xf numFmtId="166" fontId="20" fillId="10" borderId="4" xfId="7" applyFont="1" applyBorder="1">
      <alignment horizontal="center" vertical="center"/>
    </xf>
    <xf numFmtId="166" fontId="20" fillId="10" borderId="2" xfId="7" applyFont="1" applyBorder="1">
      <alignment horizontal="center" vertical="center"/>
    </xf>
    <xf numFmtId="0" fontId="35" fillId="9" borderId="33" xfId="6" applyFont="1" applyBorder="1">
      <alignment horizontal="center" vertical="center" wrapText="1"/>
    </xf>
    <xf numFmtId="0" fontId="35" fillId="9" borderId="30" xfId="6" applyFont="1" applyBorder="1">
      <alignment horizontal="center" vertical="center" wrapText="1"/>
    </xf>
    <xf numFmtId="0" fontId="35" fillId="9" borderId="1" xfId="6" applyFont="1" applyBorder="1">
      <alignment horizontal="center" vertical="center" wrapText="1"/>
    </xf>
    <xf numFmtId="0" fontId="35" fillId="9" borderId="4" xfId="6" applyFont="1" applyBorder="1">
      <alignment horizontal="center" vertical="center" wrapText="1"/>
    </xf>
    <xf numFmtId="0" fontId="35" fillId="9" borderId="2" xfId="6" applyFont="1" applyBorder="1">
      <alignment horizontal="center" vertical="center" wrapText="1"/>
    </xf>
    <xf numFmtId="172" fontId="36" fillId="0" borderId="4" xfId="0" applyNumberFormat="1" applyFont="1" applyBorder="1" applyAlignment="1">
      <alignment horizontal="center" vertical="center" wrapText="1"/>
    </xf>
    <xf numFmtId="172" fontId="36" fillId="0" borderId="2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7" fontId="27" fillId="2" borderId="15" xfId="4" applyNumberFormat="1" applyFont="1" applyFill="1" applyBorder="1" applyAlignment="1">
      <alignment horizontal="left" vertical="center"/>
    </xf>
    <xf numFmtId="167" fontId="27" fillId="2" borderId="22" xfId="4" applyNumberFormat="1" applyFont="1" applyFill="1" applyBorder="1" applyAlignment="1">
      <alignment horizontal="left" vertical="center"/>
    </xf>
    <xf numFmtId="168" fontId="16" fillId="8" borderId="27" xfId="1" applyNumberFormat="1" applyFont="1" applyFill="1" applyBorder="1" applyAlignment="1">
      <alignment horizontal="center" vertical="center"/>
    </xf>
    <xf numFmtId="168" fontId="16" fillId="8" borderId="29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right" vertical="center"/>
    </xf>
    <xf numFmtId="168" fontId="11" fillId="0" borderId="4" xfId="1" applyNumberFormat="1" applyFont="1" applyFill="1" applyBorder="1" applyAlignment="1">
      <alignment horizontal="right" vertical="center"/>
    </xf>
    <xf numFmtId="168" fontId="11" fillId="0" borderId="2" xfId="1" applyNumberFormat="1" applyFont="1" applyFill="1" applyBorder="1" applyAlignment="1">
      <alignment horizontal="right" vertical="center"/>
    </xf>
    <xf numFmtId="0" fontId="11" fillId="8" borderId="1" xfId="3" applyFont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9" fontId="19" fillId="2" borderId="10" xfId="2" applyFont="1" applyFill="1" applyBorder="1" applyAlignment="1">
      <alignment horizontal="center" vertical="center"/>
    </xf>
    <xf numFmtId="9" fontId="19" fillId="2" borderId="13" xfId="2" applyFont="1" applyFill="1" applyBorder="1" applyAlignment="1">
      <alignment horizontal="center" vertical="center"/>
    </xf>
    <xf numFmtId="9" fontId="19" fillId="2" borderId="7" xfId="2" applyFont="1" applyFill="1" applyBorder="1" applyAlignment="1">
      <alignment horizontal="center" vertical="center"/>
    </xf>
    <xf numFmtId="1" fontId="19" fillId="2" borderId="10" xfId="3" applyNumberFormat="1" applyFont="1" applyFill="1" applyBorder="1" applyAlignment="1">
      <alignment horizontal="center" vertical="center"/>
    </xf>
    <xf numFmtId="1" fontId="19" fillId="2" borderId="13" xfId="3" applyNumberFormat="1" applyFont="1" applyFill="1" applyBorder="1" applyAlignment="1">
      <alignment horizontal="center" vertical="center"/>
    </xf>
    <xf numFmtId="1" fontId="19" fillId="2" borderId="7" xfId="3" applyNumberFormat="1" applyFont="1" applyFill="1" applyBorder="1" applyAlignment="1">
      <alignment horizontal="center" vertical="center"/>
    </xf>
    <xf numFmtId="171" fontId="19" fillId="2" borderId="10" xfId="1" applyNumberFormat="1" applyFont="1" applyFill="1" applyBorder="1" applyAlignment="1">
      <alignment horizontal="center" vertical="center"/>
    </xf>
    <xf numFmtId="171" fontId="19" fillId="2" borderId="13" xfId="1" applyNumberFormat="1" applyFont="1" applyFill="1" applyBorder="1" applyAlignment="1">
      <alignment horizontal="center" vertical="center"/>
    </xf>
    <xf numFmtId="171" fontId="19" fillId="2" borderId="7" xfId="1" applyNumberFormat="1" applyFont="1" applyFill="1" applyBorder="1" applyAlignment="1">
      <alignment horizontal="center" vertical="center"/>
    </xf>
    <xf numFmtId="170" fontId="18" fillId="0" borderId="10" xfId="0" applyNumberFormat="1" applyFont="1" applyBorder="1" applyAlignment="1">
      <alignment horizontal="center" vertical="center" wrapText="1"/>
    </xf>
    <xf numFmtId="170" fontId="18" fillId="0" borderId="13" xfId="0" applyNumberFormat="1" applyFont="1" applyBorder="1" applyAlignment="1">
      <alignment horizontal="center" vertical="center" wrapText="1"/>
    </xf>
    <xf numFmtId="170" fontId="18" fillId="0" borderId="7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166" fontId="12" fillId="8" borderId="1" xfId="0" applyNumberFormat="1" applyFont="1" applyFill="1" applyBorder="1" applyAlignment="1">
      <alignment horizontal="center" vertical="center" wrapText="1"/>
    </xf>
    <xf numFmtId="166" fontId="12" fillId="8" borderId="4" xfId="0" applyNumberFormat="1" applyFont="1" applyFill="1" applyBorder="1" applyAlignment="1">
      <alignment horizontal="center" vertical="center" wrapText="1"/>
    </xf>
    <xf numFmtId="166" fontId="12" fillId="8" borderId="2" xfId="0" applyNumberFormat="1" applyFont="1" applyFill="1" applyBorder="1" applyAlignment="1">
      <alignment horizontal="center" vertical="center" wrapText="1"/>
    </xf>
    <xf numFmtId="166" fontId="20" fillId="10" borderId="27" xfId="7" applyFont="1" applyBorder="1">
      <alignment horizontal="center" vertical="center"/>
    </xf>
    <xf numFmtId="166" fontId="20" fillId="10" borderId="29" xfId="7" applyFont="1" applyBorder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3" fillId="9" borderId="33" xfId="6" applyBorder="1">
      <alignment horizontal="center" vertical="center" wrapText="1"/>
    </xf>
    <xf numFmtId="0" fontId="33" fillId="9" borderId="30" xfId="6" applyBorder="1">
      <alignment horizontal="center" vertical="center" wrapText="1"/>
    </xf>
    <xf numFmtId="166" fontId="5" fillId="10" borderId="1" xfId="7" applyBorder="1">
      <alignment horizontal="center" vertical="center"/>
    </xf>
    <xf numFmtId="166" fontId="5" fillId="10" borderId="4" xfId="7" applyBorder="1">
      <alignment horizontal="center" vertical="center"/>
    </xf>
    <xf numFmtId="166" fontId="5" fillId="10" borderId="2" xfId="7" applyBorder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172" fontId="10" fillId="0" borderId="4" xfId="0" applyNumberFormat="1" applyFont="1" applyBorder="1" applyAlignment="1">
      <alignment horizontal="center" vertical="center" wrapText="1"/>
    </xf>
    <xf numFmtId="172" fontId="10" fillId="0" borderId="2" xfId="0" applyNumberFormat="1" applyFont="1" applyBorder="1" applyAlignment="1">
      <alignment horizontal="center" vertical="center" wrapText="1"/>
    </xf>
    <xf numFmtId="166" fontId="5" fillId="10" borderId="27" xfId="7" applyBorder="1">
      <alignment horizontal="center" vertical="center"/>
    </xf>
    <xf numFmtId="166" fontId="5" fillId="10" borderId="29" xfId="7" applyBorder="1">
      <alignment horizontal="center" vertical="center"/>
    </xf>
    <xf numFmtId="0" fontId="33" fillId="9" borderId="44" xfId="6" applyBorder="1">
      <alignment horizontal="center" vertical="center" wrapText="1"/>
    </xf>
    <xf numFmtId="0" fontId="33" fillId="9" borderId="39" xfId="6" applyBorder="1">
      <alignment horizontal="center" vertical="center" wrapText="1"/>
    </xf>
    <xf numFmtId="0" fontId="33" fillId="9" borderId="37" xfId="6" applyBorder="1">
      <alignment horizontal="center" vertical="center" wrapText="1"/>
    </xf>
    <xf numFmtId="0" fontId="33" fillId="9" borderId="38" xfId="6" applyBorder="1">
      <alignment horizontal="center" vertical="center" wrapText="1"/>
    </xf>
    <xf numFmtId="0" fontId="33" fillId="9" borderId="0" xfId="6" applyBorder="1">
      <alignment horizontal="center" vertical="center" wrapText="1"/>
    </xf>
    <xf numFmtId="0" fontId="33" fillId="9" borderId="45" xfId="6" applyBorder="1">
      <alignment horizontal="center" vertical="center" wrapText="1"/>
    </xf>
  </cellXfs>
  <cellStyles count="8">
    <cellStyle name="Comma [0]" xfId="4" builtinId="6"/>
    <cellStyle name="Currency" xfId="1" builtinId="4"/>
    <cellStyle name="Normal" xfId="0" builtinId="0"/>
    <cellStyle name="Normal 2" xfId="3" xr:uid="{00000000-0005-0000-0000-000003000000}"/>
    <cellStyle name="Note 2" xfId="5" xr:uid="{7CC51EF5-67C4-4FAC-B74A-62750FADC802}"/>
    <cellStyle name="Percent" xfId="2" builtinId="5"/>
    <cellStyle name="Red Black" xfId="6" xr:uid="{A5C4D946-DA03-485D-9424-8DA6852A8962}"/>
    <cellStyle name="White Grey" xfId="7" xr:uid="{301C797F-B7A9-4601-8942-BBED86B301D1}"/>
  </cellStyles>
  <dxfs count="0"/>
  <tableStyles count="0" defaultTableStyle="TableStyleMedium2" defaultPivotStyle="PivotStyleLight16"/>
  <colors>
    <mruColors>
      <color rgb="FFB9282E"/>
      <color rgb="FF09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</sheetPr>
  <dimension ref="A1:P40"/>
  <sheetViews>
    <sheetView view="pageBreakPreview" zoomScale="85" zoomScaleNormal="85" zoomScaleSheetLayoutView="85" workbookViewId="0">
      <selection activeCell="C23" sqref="C23:L23"/>
    </sheetView>
  </sheetViews>
  <sheetFormatPr defaultColWidth="9.109375" defaultRowHeight="14.4" x14ac:dyDescent="0.3"/>
  <cols>
    <col min="1" max="1" width="9.6640625" style="29" customWidth="1"/>
    <col min="2" max="2" width="15.33203125" style="31" customWidth="1"/>
    <col min="3" max="3" width="52.5546875" style="29" customWidth="1"/>
    <col min="4" max="4" width="15.88671875" style="29" customWidth="1"/>
    <col min="5" max="5" width="15.6640625" style="32" bestFit="1" customWidth="1"/>
    <col min="6" max="6" width="14.6640625" style="32" customWidth="1"/>
    <col min="7" max="7" width="14.33203125" style="32" customWidth="1"/>
    <col min="8" max="8" width="16.88671875" style="32" bestFit="1" customWidth="1"/>
    <col min="9" max="9" width="14.33203125" style="32" customWidth="1"/>
    <col min="10" max="10" width="15.44140625" style="32" bestFit="1" customWidth="1"/>
    <col min="11" max="11" width="15.44140625" style="32" customWidth="1"/>
    <col min="12" max="12" width="19.109375" style="32" customWidth="1"/>
    <col min="13" max="13" width="10.6640625" style="29" customWidth="1"/>
    <col min="14" max="16384" width="9.109375" style="29"/>
  </cols>
  <sheetData>
    <row r="1" spans="1:15" ht="37.5" customHeight="1" thickBot="1" x14ac:dyDescent="0.35">
      <c r="A1" s="182" t="str">
        <f>Estimate!E1</f>
        <v xml:space="preserve">GOLDFISH SWIM SCHOOL 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4"/>
      <c r="M1" s="28"/>
    </row>
    <row r="2" spans="1:15" ht="15" thickBot="1" x14ac:dyDescent="0.35">
      <c r="A2" s="30"/>
      <c r="M2" s="28"/>
    </row>
    <row r="3" spans="1:15" ht="30" customHeight="1" thickBot="1" x14ac:dyDescent="0.35">
      <c r="A3" s="30"/>
      <c r="B3" s="178" t="s">
        <v>25</v>
      </c>
      <c r="C3" s="179"/>
      <c r="D3" s="179"/>
      <c r="E3" s="179"/>
      <c r="F3" s="179"/>
      <c r="G3" s="179"/>
      <c r="H3" s="179"/>
      <c r="I3" s="179"/>
      <c r="J3" s="179"/>
      <c r="K3" s="179"/>
      <c r="L3" s="180"/>
      <c r="M3" s="28"/>
    </row>
    <row r="4" spans="1:15" ht="29.4" thickBot="1" x14ac:dyDescent="0.35">
      <c r="A4" s="30"/>
      <c r="B4" s="2" t="s">
        <v>162</v>
      </c>
      <c r="C4" s="3" t="s">
        <v>1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27" t="s">
        <v>186</v>
      </c>
      <c r="L4" s="154" t="s">
        <v>23</v>
      </c>
    </row>
    <row r="5" spans="1:15" ht="25.2" customHeight="1" x14ac:dyDescent="0.3">
      <c r="A5" s="30"/>
      <c r="B5" s="33" t="s">
        <v>170</v>
      </c>
      <c r="C5" s="34" t="s">
        <v>172</v>
      </c>
      <c r="D5" s="35">
        <f>Estimate!K$21</f>
        <v>7445.75</v>
      </c>
      <c r="E5" s="35">
        <f>Estimate!N$21</f>
        <v>238568.75</v>
      </c>
      <c r="F5" s="36">
        <f t="shared" ref="F5:F21" si="0">D5*$D$28</f>
        <v>0</v>
      </c>
      <c r="G5" s="36">
        <f t="shared" ref="G5:G21" si="1">E5*$D$31</f>
        <v>0</v>
      </c>
      <c r="H5" s="36">
        <f t="shared" ref="H5:H10" si="2">D5+E5+F5+G5</f>
        <v>246014.5</v>
      </c>
      <c r="I5" s="36">
        <f t="shared" ref="I5:I21" si="3">H5*$D$33</f>
        <v>24601.45</v>
      </c>
      <c r="J5" s="36">
        <f t="shared" ref="J5:J21" si="4">H5*$D$34</f>
        <v>24601.45</v>
      </c>
      <c r="K5" s="37">
        <f>SUM(E$36:E$37)</f>
        <v>0</v>
      </c>
      <c r="L5" s="155">
        <f>H5+I5+J5+K5</f>
        <v>295217.40000000002</v>
      </c>
      <c r="M5" s="32"/>
      <c r="N5" s="32"/>
      <c r="O5" s="32"/>
    </row>
    <row r="6" spans="1:15" ht="25.2" customHeight="1" x14ac:dyDescent="0.3">
      <c r="A6" s="30"/>
      <c r="B6" s="33" t="s">
        <v>55</v>
      </c>
      <c r="C6" s="34" t="s">
        <v>185</v>
      </c>
      <c r="D6" s="35">
        <f>Estimate!K$41</f>
        <v>0</v>
      </c>
      <c r="E6" s="35">
        <f>Estimate!$N41</f>
        <v>42909.993750000001</v>
      </c>
      <c r="F6" s="36">
        <f t="shared" si="0"/>
        <v>0</v>
      </c>
      <c r="G6" s="36">
        <f t="shared" si="1"/>
        <v>0</v>
      </c>
      <c r="H6" s="36">
        <f t="shared" si="2"/>
        <v>42909.993750000001</v>
      </c>
      <c r="I6" s="36">
        <f t="shared" si="3"/>
        <v>4290.9993750000003</v>
      </c>
      <c r="J6" s="36">
        <f t="shared" si="4"/>
        <v>4290.9993750000003</v>
      </c>
      <c r="K6" s="37">
        <v>0</v>
      </c>
      <c r="L6" s="155">
        <f t="shared" ref="L6:L21" si="5">H6+I6+J6+K6</f>
        <v>51491.9925</v>
      </c>
      <c r="M6" s="32"/>
      <c r="N6" s="32"/>
      <c r="O6" s="32"/>
    </row>
    <row r="7" spans="1:15" ht="25.2" customHeight="1" x14ac:dyDescent="0.3">
      <c r="A7" s="30"/>
      <c r="B7" s="33" t="s">
        <v>56</v>
      </c>
      <c r="C7" s="34" t="s">
        <v>57</v>
      </c>
      <c r="D7" s="35">
        <f>Estimate!K$56</f>
        <v>20294.399999999998</v>
      </c>
      <c r="E7" s="35">
        <f>Estimate!$N56</f>
        <v>24908.625</v>
      </c>
      <c r="F7" s="36">
        <f t="shared" si="0"/>
        <v>0</v>
      </c>
      <c r="G7" s="36">
        <f t="shared" si="1"/>
        <v>0</v>
      </c>
      <c r="H7" s="36">
        <f t="shared" si="2"/>
        <v>45203.024999999994</v>
      </c>
      <c r="I7" s="36">
        <f t="shared" si="3"/>
        <v>4520.3024999999998</v>
      </c>
      <c r="J7" s="36">
        <f t="shared" si="4"/>
        <v>4520.3024999999998</v>
      </c>
      <c r="K7" s="37">
        <v>0</v>
      </c>
      <c r="L7" s="155">
        <f t="shared" si="5"/>
        <v>54243.62999999999</v>
      </c>
      <c r="M7" s="32"/>
      <c r="N7" s="32"/>
      <c r="O7" s="32"/>
    </row>
    <row r="8" spans="1:15" ht="25.2" customHeight="1" x14ac:dyDescent="0.3">
      <c r="A8" s="30"/>
      <c r="B8" s="33" t="s">
        <v>160</v>
      </c>
      <c r="C8" s="34" t="s">
        <v>156</v>
      </c>
      <c r="D8" s="35">
        <f>Estimate!K$61</f>
        <v>2898.0000000000005</v>
      </c>
      <c r="E8" s="35">
        <f>Estimate!$N61</f>
        <v>2328.75</v>
      </c>
      <c r="F8" s="36">
        <f t="shared" si="0"/>
        <v>0</v>
      </c>
      <c r="G8" s="36">
        <f t="shared" si="1"/>
        <v>0</v>
      </c>
      <c r="H8" s="36">
        <f t="shared" si="2"/>
        <v>5226.75</v>
      </c>
      <c r="I8" s="36">
        <f t="shared" si="3"/>
        <v>522.67500000000007</v>
      </c>
      <c r="J8" s="36">
        <f t="shared" si="4"/>
        <v>522.67500000000007</v>
      </c>
      <c r="K8" s="37">
        <v>0</v>
      </c>
      <c r="L8" s="155">
        <f t="shared" si="5"/>
        <v>6272.1</v>
      </c>
      <c r="M8" s="32"/>
      <c r="N8" s="32"/>
      <c r="O8" s="32"/>
    </row>
    <row r="9" spans="1:15" ht="25.2" customHeight="1" x14ac:dyDescent="0.3">
      <c r="A9" s="30"/>
      <c r="B9" s="33" t="s">
        <v>159</v>
      </c>
      <c r="C9" s="34" t="s">
        <v>157</v>
      </c>
      <c r="D9" s="35">
        <f>Estimate!K$104</f>
        <v>65332.000000000007</v>
      </c>
      <c r="E9" s="35">
        <f>Estimate!$N104</f>
        <v>80190</v>
      </c>
      <c r="F9" s="36">
        <f t="shared" si="0"/>
        <v>0</v>
      </c>
      <c r="G9" s="36">
        <f t="shared" si="1"/>
        <v>0</v>
      </c>
      <c r="H9" s="36">
        <f t="shared" si="2"/>
        <v>145522</v>
      </c>
      <c r="I9" s="36">
        <f t="shared" si="3"/>
        <v>14552.2</v>
      </c>
      <c r="J9" s="36">
        <f t="shared" si="4"/>
        <v>14552.2</v>
      </c>
      <c r="K9" s="37">
        <v>0</v>
      </c>
      <c r="L9" s="155">
        <f t="shared" si="5"/>
        <v>174626.40000000002</v>
      </c>
      <c r="M9" s="32"/>
      <c r="N9" s="32"/>
      <c r="O9" s="32"/>
    </row>
    <row r="10" spans="1:15" ht="25.2" customHeight="1" x14ac:dyDescent="0.3">
      <c r="A10" s="30"/>
      <c r="B10" s="33" t="s">
        <v>158</v>
      </c>
      <c r="C10" s="34" t="s">
        <v>58</v>
      </c>
      <c r="D10" s="35">
        <f>Estimate!K$113</f>
        <v>2150.04</v>
      </c>
      <c r="E10" s="35">
        <f>Estimate!$N113</f>
        <v>2687.55</v>
      </c>
      <c r="F10" s="36">
        <f t="shared" si="0"/>
        <v>0</v>
      </c>
      <c r="G10" s="36">
        <f t="shared" si="1"/>
        <v>0</v>
      </c>
      <c r="H10" s="36">
        <f t="shared" si="2"/>
        <v>4837.59</v>
      </c>
      <c r="I10" s="36">
        <f t="shared" si="3"/>
        <v>483.75900000000001</v>
      </c>
      <c r="J10" s="36">
        <f t="shared" si="4"/>
        <v>483.75900000000001</v>
      </c>
      <c r="K10" s="37">
        <v>0</v>
      </c>
      <c r="L10" s="155">
        <f t="shared" si="5"/>
        <v>5805.1080000000002</v>
      </c>
      <c r="M10" s="32"/>
      <c r="N10" s="32"/>
      <c r="O10" s="32"/>
    </row>
    <row r="11" spans="1:15" ht="25.2" customHeight="1" x14ac:dyDescent="0.3">
      <c r="A11" s="30"/>
      <c r="B11" s="33" t="s">
        <v>161</v>
      </c>
      <c r="C11" s="34" t="s">
        <v>59</v>
      </c>
      <c r="D11" s="35">
        <f>Estimate!K$134</f>
        <v>2672.7799999999997</v>
      </c>
      <c r="E11" s="35">
        <f>Estimate!$N134</f>
        <v>8054.0999999999995</v>
      </c>
      <c r="F11" s="36">
        <f t="shared" si="0"/>
        <v>0</v>
      </c>
      <c r="G11" s="36">
        <f t="shared" si="1"/>
        <v>0</v>
      </c>
      <c r="H11" s="36">
        <f t="shared" ref="H11:H15" si="6">D11+E11+F11+G11</f>
        <v>10726.88</v>
      </c>
      <c r="I11" s="36">
        <f t="shared" si="3"/>
        <v>1072.6879999999999</v>
      </c>
      <c r="J11" s="36">
        <f t="shared" si="4"/>
        <v>1072.6879999999999</v>
      </c>
      <c r="K11" s="37">
        <v>0</v>
      </c>
      <c r="L11" s="155">
        <f t="shared" si="5"/>
        <v>12872.255999999999</v>
      </c>
      <c r="M11" s="32"/>
      <c r="N11" s="32"/>
      <c r="O11" s="32"/>
    </row>
    <row r="12" spans="1:15" ht="25.2" customHeight="1" x14ac:dyDescent="0.3">
      <c r="A12" s="30"/>
      <c r="B12" s="33" t="s">
        <v>46</v>
      </c>
      <c r="C12" s="34" t="s">
        <v>45</v>
      </c>
      <c r="D12" s="35">
        <f>Estimate!K$171</f>
        <v>77971.243537499991</v>
      </c>
      <c r="E12" s="35">
        <f>Estimate!$N171</f>
        <v>29271.424148437498</v>
      </c>
      <c r="F12" s="36">
        <f t="shared" si="0"/>
        <v>0</v>
      </c>
      <c r="G12" s="36">
        <f t="shared" si="1"/>
        <v>0</v>
      </c>
      <c r="H12" s="36">
        <f t="shared" si="6"/>
        <v>107242.66768593749</v>
      </c>
      <c r="I12" s="36">
        <f t="shared" si="3"/>
        <v>10724.266768593749</v>
      </c>
      <c r="J12" s="36">
        <f t="shared" si="4"/>
        <v>10724.266768593749</v>
      </c>
      <c r="K12" s="37">
        <v>0</v>
      </c>
      <c r="L12" s="155">
        <f t="shared" si="5"/>
        <v>128691.20122312498</v>
      </c>
      <c r="M12" s="32"/>
      <c r="N12" s="32"/>
      <c r="O12" s="32"/>
    </row>
    <row r="13" spans="1:15" ht="25.2" customHeight="1" x14ac:dyDescent="0.3">
      <c r="A13" s="30"/>
      <c r="B13" s="33" t="s">
        <v>44</v>
      </c>
      <c r="C13" s="34" t="s">
        <v>47</v>
      </c>
      <c r="D13" s="35">
        <f>Estimate!K$294</f>
        <v>127954.24135338346</v>
      </c>
      <c r="E13" s="35">
        <f>Estimate!$N294</f>
        <v>155752.86419172934</v>
      </c>
      <c r="F13" s="36">
        <f t="shared" si="0"/>
        <v>0</v>
      </c>
      <c r="G13" s="36">
        <f t="shared" si="1"/>
        <v>0</v>
      </c>
      <c r="H13" s="36">
        <f t="shared" si="6"/>
        <v>283707.1055451128</v>
      </c>
      <c r="I13" s="36">
        <f t="shared" si="3"/>
        <v>28370.710554511283</v>
      </c>
      <c r="J13" s="36">
        <f t="shared" si="4"/>
        <v>28370.710554511283</v>
      </c>
      <c r="K13" s="37">
        <v>0</v>
      </c>
      <c r="L13" s="155">
        <f t="shared" si="5"/>
        <v>340448.52665413538</v>
      </c>
      <c r="M13" s="32"/>
      <c r="N13" s="32"/>
      <c r="O13" s="32"/>
    </row>
    <row r="14" spans="1:15" ht="25.2" customHeight="1" x14ac:dyDescent="0.3">
      <c r="A14" s="30"/>
      <c r="B14" s="33" t="s">
        <v>60</v>
      </c>
      <c r="C14" s="34" t="s">
        <v>61</v>
      </c>
      <c r="D14" s="35">
        <f>Estimate!K$337</f>
        <v>17342.237499999999</v>
      </c>
      <c r="E14" s="35">
        <f>Estimate!$N337</f>
        <v>14811.21484375</v>
      </c>
      <c r="F14" s="36">
        <f t="shared" si="0"/>
        <v>0</v>
      </c>
      <c r="G14" s="36">
        <f t="shared" si="1"/>
        <v>0</v>
      </c>
      <c r="H14" s="36">
        <f t="shared" si="6"/>
        <v>32153.452343749999</v>
      </c>
      <c r="I14" s="36">
        <f t="shared" si="3"/>
        <v>3215.345234375</v>
      </c>
      <c r="J14" s="36">
        <f t="shared" si="4"/>
        <v>3215.345234375</v>
      </c>
      <c r="K14" s="37">
        <v>0</v>
      </c>
      <c r="L14" s="155">
        <f t="shared" si="5"/>
        <v>38584.142812500002</v>
      </c>
      <c r="M14" s="32"/>
      <c r="N14" s="32"/>
      <c r="O14" s="32"/>
    </row>
    <row r="15" spans="1:15" ht="25.2" customHeight="1" x14ac:dyDescent="0.3">
      <c r="A15" s="30"/>
      <c r="B15" s="33" t="s">
        <v>62</v>
      </c>
      <c r="C15" s="34" t="s">
        <v>63</v>
      </c>
      <c r="D15" s="35">
        <f>Estimate!K$346</f>
        <v>2350</v>
      </c>
      <c r="E15" s="35">
        <f>Estimate!$N346</f>
        <v>1671.09375</v>
      </c>
      <c r="F15" s="36">
        <f t="shared" si="0"/>
        <v>0</v>
      </c>
      <c r="G15" s="36">
        <f t="shared" si="1"/>
        <v>0</v>
      </c>
      <c r="H15" s="36">
        <f t="shared" si="6"/>
        <v>4021.09375</v>
      </c>
      <c r="I15" s="36">
        <f t="shared" si="3"/>
        <v>402.109375</v>
      </c>
      <c r="J15" s="36">
        <f t="shared" si="4"/>
        <v>402.109375</v>
      </c>
      <c r="K15" s="37">
        <v>0</v>
      </c>
      <c r="L15" s="155">
        <f t="shared" si="5"/>
        <v>4825.3125</v>
      </c>
      <c r="M15" s="32"/>
      <c r="N15" s="32"/>
      <c r="O15" s="32"/>
    </row>
    <row r="16" spans="1:15" ht="25.2" customHeight="1" x14ac:dyDescent="0.3">
      <c r="A16" s="30"/>
      <c r="B16" s="33" t="s">
        <v>64</v>
      </c>
      <c r="C16" s="34" t="s">
        <v>65</v>
      </c>
      <c r="D16" s="35">
        <f>Estimate!K$369</f>
        <v>2226</v>
      </c>
      <c r="E16" s="35">
        <f>Estimate!$N369</f>
        <v>16596.609375</v>
      </c>
      <c r="F16" s="36">
        <f t="shared" si="0"/>
        <v>0</v>
      </c>
      <c r="G16" s="36">
        <f t="shared" si="1"/>
        <v>0</v>
      </c>
      <c r="H16" s="36">
        <f t="shared" ref="H16:H21" si="7">D16+E16+F16+G16</f>
        <v>18822.609375</v>
      </c>
      <c r="I16" s="36">
        <f t="shared" si="3"/>
        <v>1882.2609375000002</v>
      </c>
      <c r="J16" s="36">
        <f t="shared" si="4"/>
        <v>1882.2609375000002</v>
      </c>
      <c r="K16" s="37">
        <v>0</v>
      </c>
      <c r="L16" s="155">
        <f t="shared" si="5"/>
        <v>22587.131249999999</v>
      </c>
      <c r="M16" s="32"/>
      <c r="N16" s="32"/>
      <c r="O16" s="32"/>
    </row>
    <row r="17" spans="1:16" ht="25.2" customHeight="1" x14ac:dyDescent="0.3">
      <c r="A17" s="30"/>
      <c r="B17" s="33" t="s">
        <v>177</v>
      </c>
      <c r="C17" s="34" t="s">
        <v>181</v>
      </c>
      <c r="D17" s="35">
        <f>Estimate!K$388</f>
        <v>23569.165799999995</v>
      </c>
      <c r="E17" s="35">
        <f>Estimate!N$388</f>
        <v>18760.832249999999</v>
      </c>
      <c r="F17" s="36">
        <f t="shared" si="0"/>
        <v>0</v>
      </c>
      <c r="G17" s="36">
        <f t="shared" si="1"/>
        <v>0</v>
      </c>
      <c r="H17" s="36">
        <f t="shared" ref="H17:H20" si="8">D17+E17+F17+G17</f>
        <v>42329.998049999995</v>
      </c>
      <c r="I17" s="36">
        <f t="shared" si="3"/>
        <v>4232.9998049999995</v>
      </c>
      <c r="J17" s="36">
        <f t="shared" si="4"/>
        <v>4232.9998049999995</v>
      </c>
      <c r="K17" s="37">
        <v>0</v>
      </c>
      <c r="L17" s="155">
        <f t="shared" si="5"/>
        <v>50795.997659999994</v>
      </c>
      <c r="M17" s="32"/>
      <c r="N17" s="32"/>
      <c r="O17" s="32"/>
    </row>
    <row r="18" spans="1:16" ht="25.2" customHeight="1" x14ac:dyDescent="0.3">
      <c r="A18" s="30"/>
      <c r="B18" s="33" t="s">
        <v>178</v>
      </c>
      <c r="C18" s="34" t="s">
        <v>182</v>
      </c>
      <c r="D18" s="35">
        <f>Estimate!K$599</f>
        <v>163427.56909999994</v>
      </c>
      <c r="E18" s="35">
        <f>Estimate!N$599</f>
        <v>176631.67387500004</v>
      </c>
      <c r="F18" s="36">
        <f t="shared" si="0"/>
        <v>0</v>
      </c>
      <c r="G18" s="36">
        <f t="shared" si="1"/>
        <v>0</v>
      </c>
      <c r="H18" s="36">
        <f t="shared" si="8"/>
        <v>340059.24297499994</v>
      </c>
      <c r="I18" s="36">
        <f t="shared" si="3"/>
        <v>34005.924297499994</v>
      </c>
      <c r="J18" s="36">
        <f t="shared" si="4"/>
        <v>34005.924297499994</v>
      </c>
      <c r="K18" s="37">
        <v>0</v>
      </c>
      <c r="L18" s="155">
        <f t="shared" si="5"/>
        <v>408071.09156999993</v>
      </c>
      <c r="M18" s="32"/>
      <c r="N18" s="32"/>
      <c r="O18" s="32"/>
    </row>
    <row r="19" spans="1:16" ht="25.2" customHeight="1" x14ac:dyDescent="0.3">
      <c r="A19" s="30"/>
      <c r="B19" s="33" t="s">
        <v>179</v>
      </c>
      <c r="C19" s="34" t="s">
        <v>214</v>
      </c>
      <c r="D19" s="35">
        <f>Estimate!K$724</f>
        <v>110105.64840000001</v>
      </c>
      <c r="E19" s="35">
        <f>Estimate!N$724</f>
        <v>52346.982375</v>
      </c>
      <c r="F19" s="36">
        <f t="shared" si="0"/>
        <v>0</v>
      </c>
      <c r="G19" s="36">
        <f t="shared" si="1"/>
        <v>0</v>
      </c>
      <c r="H19" s="36">
        <f t="shared" si="8"/>
        <v>162452.630775</v>
      </c>
      <c r="I19" s="36">
        <f t="shared" si="3"/>
        <v>16245.2630775</v>
      </c>
      <c r="J19" s="36">
        <f t="shared" si="4"/>
        <v>16245.2630775</v>
      </c>
      <c r="K19" s="37">
        <v>0</v>
      </c>
      <c r="L19" s="155">
        <f t="shared" si="5"/>
        <v>194943.15693</v>
      </c>
      <c r="M19" s="32"/>
      <c r="N19" s="32"/>
      <c r="O19" s="32"/>
    </row>
    <row r="20" spans="1:16" ht="25.2" customHeight="1" x14ac:dyDescent="0.3">
      <c r="A20" s="30"/>
      <c r="B20" s="33" t="s">
        <v>180</v>
      </c>
      <c r="C20" s="34" t="s">
        <v>183</v>
      </c>
      <c r="D20" s="35">
        <f>Estimate!K$896</f>
        <v>114733.41097459999</v>
      </c>
      <c r="E20" s="35">
        <f>Estimate!N$896</f>
        <v>81318.013718250018</v>
      </c>
      <c r="F20" s="36">
        <f t="shared" si="0"/>
        <v>0</v>
      </c>
      <c r="G20" s="36">
        <f t="shared" si="1"/>
        <v>0</v>
      </c>
      <c r="H20" s="36">
        <f t="shared" si="8"/>
        <v>196051.42469285001</v>
      </c>
      <c r="I20" s="36">
        <f t="shared" si="3"/>
        <v>19605.142469285001</v>
      </c>
      <c r="J20" s="36">
        <f t="shared" si="4"/>
        <v>19605.142469285001</v>
      </c>
      <c r="K20" s="37">
        <v>0</v>
      </c>
      <c r="L20" s="155">
        <f t="shared" si="5"/>
        <v>235261.70963142</v>
      </c>
      <c r="M20" s="32"/>
      <c r="N20" s="32"/>
      <c r="O20" s="32"/>
    </row>
    <row r="21" spans="1:16" ht="25.2" customHeight="1" x14ac:dyDescent="0.3">
      <c r="A21" s="30"/>
      <c r="B21" s="33" t="s">
        <v>66</v>
      </c>
      <c r="C21" s="34" t="s">
        <v>67</v>
      </c>
      <c r="D21" s="35">
        <f>Estimate!K$904</f>
        <v>4816.5</v>
      </c>
      <c r="E21" s="35">
        <f>Estimate!$N904</f>
        <v>30288.75</v>
      </c>
      <c r="F21" s="36">
        <f t="shared" si="0"/>
        <v>0</v>
      </c>
      <c r="G21" s="36">
        <f t="shared" si="1"/>
        <v>0</v>
      </c>
      <c r="H21" s="36">
        <f t="shared" si="7"/>
        <v>35105.25</v>
      </c>
      <c r="I21" s="36">
        <f t="shared" si="3"/>
        <v>3510.5250000000001</v>
      </c>
      <c r="J21" s="36">
        <f t="shared" si="4"/>
        <v>3510.5250000000001</v>
      </c>
      <c r="K21" s="37">
        <v>0</v>
      </c>
      <c r="L21" s="155">
        <f t="shared" si="5"/>
        <v>42126.3</v>
      </c>
      <c r="M21" s="32"/>
      <c r="N21" s="32"/>
      <c r="O21" s="32"/>
    </row>
    <row r="22" spans="1:16" ht="20.100000000000001" customHeight="1" x14ac:dyDescent="0.3">
      <c r="A22" s="30"/>
      <c r="B22" s="38"/>
      <c r="C22" s="34"/>
      <c r="D22" s="35"/>
      <c r="E22" s="36"/>
      <c r="F22" s="36"/>
      <c r="G22" s="36"/>
      <c r="H22" s="36"/>
      <c r="I22" s="36"/>
      <c r="J22" s="36"/>
      <c r="K22" s="36"/>
      <c r="L22" s="155"/>
      <c r="M22" s="32"/>
      <c r="N22" s="32"/>
      <c r="O22" s="32"/>
    </row>
    <row r="23" spans="1:16" ht="20.100000000000001" customHeight="1" x14ac:dyDescent="0.3">
      <c r="A23" s="30"/>
      <c r="B23" s="64"/>
      <c r="C23" s="163" t="s">
        <v>24</v>
      </c>
      <c r="D23" s="163">
        <f t="shared" ref="D23:L23" si="9">SUM(D$5:D$22)</f>
        <v>745288.98666548345</v>
      </c>
      <c r="E23" s="163">
        <f t="shared" si="9"/>
        <v>977097.22727716679</v>
      </c>
      <c r="F23" s="163">
        <f t="shared" si="9"/>
        <v>0</v>
      </c>
      <c r="G23" s="163">
        <f t="shared" si="9"/>
        <v>0</v>
      </c>
      <c r="H23" s="163">
        <f t="shared" si="9"/>
        <v>1722386.2139426507</v>
      </c>
      <c r="I23" s="163">
        <f t="shared" si="9"/>
        <v>172238.62139426501</v>
      </c>
      <c r="J23" s="163">
        <f t="shared" si="9"/>
        <v>172238.62139426501</v>
      </c>
      <c r="K23" s="163">
        <f t="shared" si="9"/>
        <v>0</v>
      </c>
      <c r="L23" s="177">
        <f t="shared" si="9"/>
        <v>2066863.4567311804</v>
      </c>
      <c r="M23" s="32"/>
      <c r="N23" s="32"/>
      <c r="O23" s="32"/>
    </row>
    <row r="24" spans="1:16" ht="20.100000000000001" customHeight="1" thickBot="1" x14ac:dyDescent="0.35">
      <c r="A24" s="30"/>
      <c r="B24" s="39"/>
      <c r="C24" s="40"/>
      <c r="D24" s="41"/>
      <c r="E24" s="41"/>
      <c r="F24" s="41"/>
      <c r="G24" s="41"/>
      <c r="H24" s="41"/>
      <c r="I24" s="41"/>
      <c r="J24" s="41"/>
      <c r="K24" s="42"/>
      <c r="L24" s="156"/>
    </row>
    <row r="25" spans="1:16" ht="15" thickBot="1" x14ac:dyDescent="0.35">
      <c r="A25" s="30"/>
      <c r="M25" s="28"/>
    </row>
    <row r="26" spans="1:16" ht="30" customHeight="1" thickBot="1" x14ac:dyDescent="0.35">
      <c r="A26" s="30"/>
      <c r="B26" s="178" t="s">
        <v>15</v>
      </c>
      <c r="C26" s="179"/>
      <c r="D26" s="179"/>
      <c r="E26" s="180"/>
      <c r="F26" s="29"/>
      <c r="G26" s="178" t="s">
        <v>40</v>
      </c>
      <c r="H26" s="179"/>
      <c r="I26" s="179"/>
      <c r="J26" s="179"/>
      <c r="K26" s="179"/>
      <c r="L26" s="180"/>
      <c r="M26" s="28"/>
    </row>
    <row r="27" spans="1:16" ht="25.2" customHeight="1" thickBot="1" x14ac:dyDescent="0.35">
      <c r="A27" s="30"/>
      <c r="B27" s="43">
        <v>1</v>
      </c>
      <c r="C27" s="22" t="s">
        <v>26</v>
      </c>
      <c r="D27" s="8"/>
      <c r="E27" s="7">
        <f>D23</f>
        <v>745288.98666548345</v>
      </c>
      <c r="F27" s="29"/>
      <c r="G27" s="33">
        <v>1</v>
      </c>
      <c r="H27" s="181" t="s">
        <v>37</v>
      </c>
      <c r="I27" s="181"/>
      <c r="J27" s="181"/>
      <c r="K27" s="44"/>
      <c r="L27" s="16">
        <f>Estimate!Q$906</f>
        <v>9941.2963636955446</v>
      </c>
      <c r="M27" s="28"/>
    </row>
    <row r="28" spans="1:16" ht="25.2" customHeight="1" thickBot="1" x14ac:dyDescent="0.35">
      <c r="A28" s="30"/>
      <c r="B28" s="38"/>
      <c r="C28" s="45" t="s">
        <v>28</v>
      </c>
      <c r="D28" s="11"/>
      <c r="E28" s="46">
        <f>E27*D28</f>
        <v>0</v>
      </c>
      <c r="F28" s="29"/>
      <c r="G28" s="38">
        <v>2</v>
      </c>
      <c r="H28" s="189" t="s">
        <v>38</v>
      </c>
      <c r="I28" s="189"/>
      <c r="J28" s="189"/>
      <c r="K28" s="47"/>
      <c r="L28" s="21">
        <f>L27/8</f>
        <v>1242.6620454619431</v>
      </c>
      <c r="M28" s="28"/>
    </row>
    <row r="29" spans="1:16" ht="25.2" customHeight="1" x14ac:dyDescent="0.3">
      <c r="A29" s="30"/>
      <c r="B29" s="38"/>
      <c r="C29" s="48" t="s">
        <v>30</v>
      </c>
      <c r="D29" s="12"/>
      <c r="E29" s="49">
        <v>0</v>
      </c>
      <c r="F29" s="29"/>
      <c r="G29" s="38">
        <v>3</v>
      </c>
      <c r="H29" s="189" t="s">
        <v>34</v>
      </c>
      <c r="I29" s="189"/>
      <c r="J29" s="189"/>
      <c r="K29" s="47"/>
      <c r="L29" s="13">
        <f>J30+J31+J32</f>
        <v>5</v>
      </c>
      <c r="M29" s="28"/>
    </row>
    <row r="30" spans="1:16" ht="25.2" customHeight="1" thickBot="1" x14ac:dyDescent="0.35">
      <c r="A30" s="30"/>
      <c r="B30" s="38">
        <v>2</v>
      </c>
      <c r="C30" s="23" t="s">
        <v>27</v>
      </c>
      <c r="D30" s="9"/>
      <c r="E30" s="1">
        <f>E23</f>
        <v>977097.22727716679</v>
      </c>
      <c r="F30" s="29"/>
      <c r="G30" s="38">
        <v>4</v>
      </c>
      <c r="H30" s="189" t="s">
        <v>48</v>
      </c>
      <c r="I30" s="189"/>
      <c r="J30" s="50">
        <v>3</v>
      </c>
      <c r="K30" s="51"/>
      <c r="L30" s="52"/>
      <c r="M30" s="28"/>
      <c r="N30" s="32"/>
      <c r="O30" s="32"/>
      <c r="P30" s="32"/>
    </row>
    <row r="31" spans="1:16" ht="25.2" customHeight="1" thickBot="1" x14ac:dyDescent="0.35">
      <c r="A31" s="30"/>
      <c r="B31" s="38"/>
      <c r="C31" s="45" t="s">
        <v>19</v>
      </c>
      <c r="D31" s="11"/>
      <c r="E31" s="46">
        <f>E30*D31</f>
        <v>0</v>
      </c>
      <c r="F31" s="29"/>
      <c r="G31" s="38">
        <v>5</v>
      </c>
      <c r="H31" s="189" t="s">
        <v>35</v>
      </c>
      <c r="I31" s="189"/>
      <c r="J31" s="50">
        <v>1</v>
      </c>
      <c r="K31" s="51"/>
      <c r="L31" s="52"/>
      <c r="M31" s="28"/>
      <c r="N31" s="32"/>
      <c r="O31" s="32"/>
      <c r="P31" s="32"/>
    </row>
    <row r="32" spans="1:16" ht="25.2" customHeight="1" thickBot="1" x14ac:dyDescent="0.35">
      <c r="A32" s="30"/>
      <c r="B32" s="38">
        <v>3</v>
      </c>
      <c r="C32" s="23" t="s">
        <v>20</v>
      </c>
      <c r="D32" s="9"/>
      <c r="E32" s="1">
        <f>SUM(E27:E31)</f>
        <v>1722386.2139426502</v>
      </c>
      <c r="F32" s="29"/>
      <c r="G32" s="38">
        <v>6</v>
      </c>
      <c r="H32" s="189" t="s">
        <v>36</v>
      </c>
      <c r="I32" s="189"/>
      <c r="J32" s="50">
        <v>1</v>
      </c>
      <c r="K32" s="51"/>
      <c r="L32" s="52"/>
      <c r="M32" s="28"/>
      <c r="N32" s="32"/>
      <c r="O32" s="32"/>
      <c r="P32" s="32"/>
    </row>
    <row r="33" spans="1:16" ht="25.2" customHeight="1" thickBot="1" x14ac:dyDescent="0.35">
      <c r="A33" s="30"/>
      <c r="B33" s="38"/>
      <c r="C33" s="45" t="s">
        <v>29</v>
      </c>
      <c r="D33" s="19">
        <v>0.1</v>
      </c>
      <c r="E33" s="46">
        <f>E32*D33</f>
        <v>172238.62139426504</v>
      </c>
      <c r="F33" s="29"/>
      <c r="G33" s="38">
        <v>7</v>
      </c>
      <c r="H33" s="189" t="s">
        <v>14</v>
      </c>
      <c r="I33" s="189"/>
      <c r="J33" s="189"/>
      <c r="K33" s="47"/>
      <c r="L33" s="52">
        <f>(L30*J30/L29)+(L31*J31/L29)+(L32*J32/L29)</f>
        <v>0</v>
      </c>
      <c r="M33" s="28"/>
      <c r="N33" s="32"/>
      <c r="O33" s="32"/>
      <c r="P33" s="32"/>
    </row>
    <row r="34" spans="1:16" ht="25.2" customHeight="1" thickBot="1" x14ac:dyDescent="0.35">
      <c r="A34" s="30"/>
      <c r="B34" s="38"/>
      <c r="C34" s="45" t="s">
        <v>32</v>
      </c>
      <c r="D34" s="19">
        <v>0.1</v>
      </c>
      <c r="E34" s="46">
        <f>E32*D34</f>
        <v>172238.62139426504</v>
      </c>
      <c r="F34" s="29"/>
      <c r="G34" s="39">
        <v>8</v>
      </c>
      <c r="H34" s="188" t="s">
        <v>39</v>
      </c>
      <c r="I34" s="188"/>
      <c r="J34" s="188"/>
      <c r="K34" s="53"/>
      <c r="L34" s="20">
        <f>L33</f>
        <v>0</v>
      </c>
      <c r="M34" s="28"/>
      <c r="N34" s="32"/>
      <c r="O34" s="32"/>
      <c r="P34" s="32"/>
    </row>
    <row r="35" spans="1:16" ht="25.2" customHeight="1" thickBot="1" x14ac:dyDescent="0.35">
      <c r="A35" s="30"/>
      <c r="B35" s="38">
        <v>4</v>
      </c>
      <c r="C35" s="23" t="s">
        <v>31</v>
      </c>
      <c r="D35" s="10"/>
      <c r="E35" s="1">
        <f>SUM(E32:E34)</f>
        <v>2066863.4567311802</v>
      </c>
      <c r="F35" s="29"/>
      <c r="G35" s="31"/>
      <c r="H35" s="24"/>
      <c r="I35" s="14"/>
      <c r="J35" s="15"/>
      <c r="K35" s="15"/>
      <c r="L35" s="29"/>
      <c r="M35" s="28"/>
      <c r="N35" s="32"/>
      <c r="O35" s="32"/>
      <c r="P35" s="32"/>
    </row>
    <row r="36" spans="1:16" ht="25.2" customHeight="1" thickBot="1" x14ac:dyDescent="0.35">
      <c r="A36" s="30"/>
      <c r="B36" s="55"/>
      <c r="C36" s="56"/>
      <c r="D36" s="153"/>
      <c r="E36" s="57"/>
      <c r="F36" s="29"/>
      <c r="G36" s="54"/>
      <c r="H36" s="185" t="s">
        <v>41</v>
      </c>
      <c r="I36" s="186"/>
      <c r="J36" s="186"/>
      <c r="K36" s="186"/>
      <c r="L36" s="187"/>
      <c r="M36" s="28"/>
      <c r="N36" s="32"/>
      <c r="O36" s="32"/>
      <c r="P36" s="32"/>
    </row>
    <row r="37" spans="1:16" ht="25.2" customHeight="1" thickBot="1" x14ac:dyDescent="0.35">
      <c r="A37" s="30"/>
      <c r="B37" s="55"/>
      <c r="C37" s="56"/>
      <c r="D37" s="17"/>
      <c r="E37" s="57"/>
      <c r="F37" s="29"/>
      <c r="G37" s="31"/>
      <c r="H37" s="29"/>
      <c r="I37" s="6"/>
      <c r="J37" s="29"/>
      <c r="K37" s="29"/>
      <c r="L37" s="29"/>
      <c r="M37" s="28"/>
      <c r="N37" s="32"/>
      <c r="O37" s="32"/>
      <c r="P37" s="32"/>
    </row>
    <row r="38" spans="1:16" ht="25.2" customHeight="1" thickBot="1" x14ac:dyDescent="0.35">
      <c r="A38" s="30"/>
      <c r="B38" s="58">
        <v>5</v>
      </c>
      <c r="C38" s="25" t="s">
        <v>33</v>
      </c>
      <c r="D38" s="18"/>
      <c r="E38" s="26">
        <f>SUM(E35:E37)</f>
        <v>2066863.4567311802</v>
      </c>
      <c r="F38" s="29"/>
      <c r="G38" s="29"/>
      <c r="H38" s="29"/>
      <c r="I38" s="29"/>
      <c r="L38" s="29"/>
      <c r="M38" s="28"/>
      <c r="N38" s="32"/>
      <c r="O38" s="32"/>
      <c r="P38" s="32"/>
    </row>
    <row r="39" spans="1:16" x14ac:dyDescent="0.3">
      <c r="A39" s="30"/>
      <c r="B39" s="29"/>
      <c r="E39" s="29"/>
      <c r="F39" s="29"/>
      <c r="J39" s="29"/>
      <c r="K39" s="29"/>
      <c r="L39" s="29"/>
      <c r="M39" s="28"/>
    </row>
    <row r="40" spans="1:16" ht="15" thickBot="1" x14ac:dyDescent="0.35">
      <c r="A40" s="59"/>
      <c r="B40" s="60"/>
      <c r="C40" s="61"/>
      <c r="D40" s="61"/>
      <c r="E40" s="62"/>
      <c r="F40" s="62"/>
      <c r="J40" s="62"/>
      <c r="K40" s="62"/>
      <c r="L40" s="62"/>
      <c r="M40" s="63"/>
    </row>
  </sheetData>
  <mergeCells count="13">
    <mergeCell ref="H36:L36"/>
    <mergeCell ref="H34:J34"/>
    <mergeCell ref="H28:J28"/>
    <mergeCell ref="H29:J29"/>
    <mergeCell ref="H33:J33"/>
    <mergeCell ref="H30:I30"/>
    <mergeCell ref="H31:I31"/>
    <mergeCell ref="H32:I32"/>
    <mergeCell ref="B26:E26"/>
    <mergeCell ref="G26:L26"/>
    <mergeCell ref="H27:J27"/>
    <mergeCell ref="B3:L3"/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E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282E"/>
    <pageSetUpPr fitToPage="1"/>
  </sheetPr>
  <dimension ref="A1:R916"/>
  <sheetViews>
    <sheetView tabSelected="1" topLeftCell="A892" zoomScale="72" zoomScaleNormal="70" zoomScaleSheetLayoutView="30" workbookViewId="0">
      <selection activeCell="E899" sqref="E899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28" t="s">
        <v>977</v>
      </c>
      <c r="F1" s="229"/>
      <c r="G1" s="229"/>
      <c r="H1" s="229"/>
      <c r="I1" s="229"/>
      <c r="J1" s="229"/>
      <c r="K1" s="229"/>
      <c r="L1" s="229"/>
      <c r="M1" s="230"/>
      <c r="N1" s="219" t="s">
        <v>206</v>
      </c>
      <c r="O1" s="220"/>
      <c r="P1" s="216">
        <f>SUM(R$908+R$909)</f>
        <v>1722386.2139426505</v>
      </c>
      <c r="Q1" s="217"/>
      <c r="R1" s="218"/>
    </row>
    <row r="2" spans="1:18" ht="69.900000000000006" customHeight="1" thickBot="1" x14ac:dyDescent="0.35">
      <c r="A2" s="201"/>
      <c r="B2" s="202"/>
      <c r="C2" s="202"/>
      <c r="D2" s="203"/>
      <c r="E2" s="226" t="s">
        <v>948</v>
      </c>
      <c r="F2" s="227"/>
      <c r="G2" s="227"/>
      <c r="H2" s="227"/>
      <c r="I2" s="227"/>
      <c r="J2" s="227"/>
      <c r="K2" s="227"/>
      <c r="L2" s="227"/>
      <c r="M2" s="227"/>
      <c r="N2" s="219" t="s">
        <v>204</v>
      </c>
      <c r="O2" s="220"/>
      <c r="P2" s="216">
        <f>P$1*'Bid Recap &amp; Summary'!D$33</f>
        <v>172238.62139426506</v>
      </c>
      <c r="Q2" s="217"/>
      <c r="R2" s="218"/>
    </row>
    <row r="3" spans="1:18" ht="65.099999999999994" customHeight="1" thickBot="1" x14ac:dyDescent="0.35">
      <c r="A3" s="204"/>
      <c r="B3" s="205"/>
      <c r="C3" s="205"/>
      <c r="D3" s="206"/>
      <c r="E3" s="213" t="s">
        <v>949</v>
      </c>
      <c r="F3" s="214"/>
      <c r="G3" s="214"/>
      <c r="H3" s="214"/>
      <c r="I3" s="214"/>
      <c r="J3" s="214"/>
      <c r="K3" s="214"/>
      <c r="L3" s="214"/>
      <c r="M3" s="215"/>
      <c r="N3" s="219" t="s">
        <v>205</v>
      </c>
      <c r="O3" s="220"/>
      <c r="P3" s="216">
        <f>P$1*'Bid Recap &amp; Summary'!D$34</f>
        <v>172238.62139426506</v>
      </c>
      <c r="Q3" s="217"/>
      <c r="R3" s="218"/>
    </row>
    <row r="4" spans="1:18" ht="60" customHeight="1" thickBot="1" x14ac:dyDescent="0.35">
      <c r="A4" s="207"/>
      <c r="B4" s="208"/>
      <c r="C4" s="208"/>
      <c r="D4" s="209"/>
      <c r="E4" s="213" t="s">
        <v>225</v>
      </c>
      <c r="F4" s="214"/>
      <c r="G4" s="214"/>
      <c r="H4" s="214"/>
      <c r="I4" s="214"/>
      <c r="J4" s="214"/>
      <c r="K4" s="214"/>
      <c r="L4" s="214"/>
      <c r="M4" s="215"/>
      <c r="N4" s="221" t="s">
        <v>186</v>
      </c>
      <c r="O4" s="223"/>
      <c r="P4" s="216">
        <f>SUM('Bid Recap &amp; Summary'!E$28+'Bid Recap &amp; Summary'!E$29+'Bid Recap &amp; Summary'!E$31)+SUM('Bid Recap &amp; Summary'!E$36:E$37)</f>
        <v>0</v>
      </c>
      <c r="Q4" s="217"/>
      <c r="R4" s="218"/>
    </row>
    <row r="5" spans="1:18" ht="60" customHeight="1" thickBot="1" x14ac:dyDescent="0.35">
      <c r="A5" s="210"/>
      <c r="B5" s="211"/>
      <c r="C5" s="211"/>
      <c r="D5" s="212"/>
      <c r="E5" s="166" t="s">
        <v>153</v>
      </c>
      <c r="F5" s="224">
        <f ca="1">TODAY()</f>
        <v>45569</v>
      </c>
      <c r="G5" s="224"/>
      <c r="H5" s="224"/>
      <c r="I5" s="224"/>
      <c r="J5" s="224"/>
      <c r="K5" s="224"/>
      <c r="L5" s="224"/>
      <c r="M5" s="225"/>
      <c r="N5" s="221" t="s">
        <v>213</v>
      </c>
      <c r="O5" s="223"/>
      <c r="P5" s="221">
        <f>SUM(P$1:R$4)</f>
        <v>2066863.4567311804</v>
      </c>
      <c r="Q5" s="222"/>
      <c r="R5" s="223"/>
    </row>
    <row r="6" spans="1:18" ht="50.1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s="171" customFormat="1" ht="20.100000000000001" customHeight="1" x14ac:dyDescent="0.3">
      <c r="A8" s="167"/>
      <c r="B8" s="168"/>
      <c r="C8" s="168"/>
      <c r="D8" s="169" t="s">
        <v>170</v>
      </c>
      <c r="E8" s="169" t="s">
        <v>171</v>
      </c>
      <c r="F8" s="170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72"/>
    </row>
    <row r="9" spans="1:18" ht="14.4" customHeight="1" x14ac:dyDescent="0.3">
      <c r="A9" s="86" t="str">
        <f>IF(TRIM(H9)&lt;&gt;"",COUNTA(H9:$H$9)&amp;"","")</f>
        <v>1</v>
      </c>
      <c r="B9" s="87"/>
      <c r="C9" s="87"/>
      <c r="D9" s="88"/>
      <c r="E9" s="89" t="s">
        <v>221</v>
      </c>
      <c r="F9" s="90">
        <v>1</v>
      </c>
      <c r="H9" s="91" t="s">
        <v>218</v>
      </c>
      <c r="I9" s="92">
        <f>IF(F9=0,"",0)</f>
        <v>0</v>
      </c>
      <c r="J9" s="93">
        <f t="shared" ref="J9:J14" si="0">IF(F9=0,"",F9+(F9*I9))</f>
        <v>1</v>
      </c>
      <c r="K9" s="94">
        <f>IF(F9=0,"",0)</f>
        <v>0</v>
      </c>
      <c r="L9" s="95">
        <f>IF(F9=0,"",K9*J9)</f>
        <v>0</v>
      </c>
      <c r="M9" s="96">
        <f>IF(F9=0,"",M$7)</f>
        <v>75</v>
      </c>
      <c r="N9" s="97">
        <f>IF(F9=0,"",0)</f>
        <v>0</v>
      </c>
      <c r="O9" s="97">
        <f>IF(F9=0,"",N9*J9)</f>
        <v>0</v>
      </c>
      <c r="P9" s="95">
        <v>35000</v>
      </c>
      <c r="Q9" s="98">
        <f>IF(F9=0,"",L9+P9)</f>
        <v>35000</v>
      </c>
      <c r="R9" s="99"/>
    </row>
    <row r="10" spans="1:18" x14ac:dyDescent="0.3">
      <c r="A10" s="86" t="str">
        <f>IF(TRIM(H10)&lt;&gt;"",COUNTA(H$9:$H10)&amp;"","")</f>
        <v>2</v>
      </c>
      <c r="B10" s="87"/>
      <c r="C10" s="87"/>
      <c r="D10" s="88"/>
      <c r="E10" s="89" t="s">
        <v>163</v>
      </c>
      <c r="F10" s="90">
        <v>1</v>
      </c>
      <c r="H10" s="91" t="s">
        <v>218</v>
      </c>
      <c r="I10" s="92">
        <f t="shared" ref="I10:I14" si="1">IF(F10=0,"",0)</f>
        <v>0</v>
      </c>
      <c r="J10" s="93">
        <f t="shared" si="0"/>
        <v>1</v>
      </c>
      <c r="K10" s="94">
        <f t="shared" ref="K10:K14" si="2">IF(F10=0,"",0)</f>
        <v>0</v>
      </c>
      <c r="L10" s="95">
        <f t="shared" ref="L10:L14" si="3">IF(F10=0,"",K10*J10)</f>
        <v>0</v>
      </c>
      <c r="M10" s="96">
        <f t="shared" ref="M10:M14" si="4">IF(F10=0,"",M$7)</f>
        <v>75</v>
      </c>
      <c r="N10" s="97">
        <f t="shared" ref="N10:N14" si="5">IF(F10=0,"",0)</f>
        <v>0</v>
      </c>
      <c r="O10" s="97">
        <f>IF(F10=0,"",N10*J10)</f>
        <v>0</v>
      </c>
      <c r="P10" s="95">
        <v>3000</v>
      </c>
      <c r="Q10" s="98">
        <f t="shared" ref="Q10:Q14" si="6">IF(F10=0,"",L10+P10)</f>
        <v>3000</v>
      </c>
      <c r="R10" s="99"/>
    </row>
    <row r="11" spans="1:18" x14ac:dyDescent="0.3">
      <c r="A11" s="86" t="str">
        <f>IF(TRIM(H11)&lt;&gt;"",COUNTA(H$9:$H11)&amp;"","")</f>
        <v>3</v>
      </c>
      <c r="B11" s="87"/>
      <c r="C11" s="87"/>
      <c r="D11" s="88"/>
      <c r="E11" s="89" t="s">
        <v>164</v>
      </c>
      <c r="F11" s="90">
        <v>1</v>
      </c>
      <c r="H11" s="91" t="s">
        <v>218</v>
      </c>
      <c r="I11" s="92">
        <f t="shared" si="1"/>
        <v>0</v>
      </c>
      <c r="J11" s="93">
        <f t="shared" si="0"/>
        <v>1</v>
      </c>
      <c r="K11" s="94">
        <f t="shared" si="2"/>
        <v>0</v>
      </c>
      <c r="L11" s="95">
        <f t="shared" si="3"/>
        <v>0</v>
      </c>
      <c r="M11" s="96">
        <f t="shared" si="4"/>
        <v>75</v>
      </c>
      <c r="N11" s="97">
        <f t="shared" si="5"/>
        <v>0</v>
      </c>
      <c r="O11" s="97">
        <f t="shared" ref="O11:O14" si="7">IF(F11=0,"",N11*J11)</f>
        <v>0</v>
      </c>
      <c r="P11" s="95">
        <v>175000</v>
      </c>
      <c r="Q11" s="98">
        <f t="shared" si="6"/>
        <v>175000</v>
      </c>
      <c r="R11" s="99"/>
    </row>
    <row r="12" spans="1:18" x14ac:dyDescent="0.3">
      <c r="A12" s="86" t="str">
        <f>IF(TRIM(H12)&lt;&gt;"",COUNTA(H$9:$H12)&amp;"","")</f>
        <v>4</v>
      </c>
      <c r="B12" s="87"/>
      <c r="C12" s="87"/>
      <c r="D12" s="88"/>
      <c r="E12" s="89" t="s">
        <v>224</v>
      </c>
      <c r="F12" s="90">
        <v>1</v>
      </c>
      <c r="H12" s="91" t="s">
        <v>218</v>
      </c>
      <c r="I12" s="92">
        <f t="shared" si="1"/>
        <v>0</v>
      </c>
      <c r="J12" s="93">
        <f t="shared" si="0"/>
        <v>1</v>
      </c>
      <c r="K12" s="94">
        <f t="shared" si="2"/>
        <v>0</v>
      </c>
      <c r="L12" s="95">
        <f t="shared" si="3"/>
        <v>0</v>
      </c>
      <c r="M12" s="96">
        <f t="shared" si="4"/>
        <v>75</v>
      </c>
      <c r="N12" s="97">
        <f t="shared" si="5"/>
        <v>0</v>
      </c>
      <c r="O12" s="97">
        <f t="shared" si="7"/>
        <v>0</v>
      </c>
      <c r="P12" s="95">
        <v>1000</v>
      </c>
      <c r="Q12" s="98">
        <f t="shared" si="6"/>
        <v>1000</v>
      </c>
      <c r="R12" s="99"/>
    </row>
    <row r="13" spans="1:18" x14ac:dyDescent="0.3">
      <c r="A13" s="86" t="str">
        <f>IF(TRIM(H13)&lt;&gt;"",COUNTA(H$9:$H13)&amp;"","")</f>
        <v>5</v>
      </c>
      <c r="B13" s="87"/>
      <c r="C13" s="87"/>
      <c r="D13" s="88"/>
      <c r="E13" s="100" t="s">
        <v>166</v>
      </c>
      <c r="F13" s="90">
        <v>1</v>
      </c>
      <c r="H13" s="91" t="s">
        <v>218</v>
      </c>
      <c r="I13" s="92">
        <f t="shared" si="1"/>
        <v>0</v>
      </c>
      <c r="J13" s="93">
        <f t="shared" si="0"/>
        <v>1</v>
      </c>
      <c r="K13" s="94">
        <f t="shared" si="2"/>
        <v>0</v>
      </c>
      <c r="L13" s="95">
        <f t="shared" si="3"/>
        <v>0</v>
      </c>
      <c r="M13" s="96">
        <f t="shared" si="4"/>
        <v>75</v>
      </c>
      <c r="N13" s="97">
        <f t="shared" si="5"/>
        <v>0</v>
      </c>
      <c r="O13" s="97">
        <f t="shared" si="7"/>
        <v>0</v>
      </c>
      <c r="P13" s="95">
        <v>1500</v>
      </c>
      <c r="Q13" s="98">
        <f t="shared" si="6"/>
        <v>1500</v>
      </c>
      <c r="R13" s="99"/>
    </row>
    <row r="14" spans="1:18" x14ac:dyDescent="0.3">
      <c r="A14" s="86" t="str">
        <f>IF(TRIM(H14)&lt;&gt;"",COUNTA(H$9:$H14)&amp;"","")</f>
        <v>6</v>
      </c>
      <c r="B14" s="87"/>
      <c r="C14" s="87"/>
      <c r="D14" s="88"/>
      <c r="E14" s="100" t="s">
        <v>219</v>
      </c>
      <c r="F14" s="90">
        <v>1</v>
      </c>
      <c r="H14" s="91" t="s">
        <v>218</v>
      </c>
      <c r="I14" s="92">
        <f t="shared" si="1"/>
        <v>0</v>
      </c>
      <c r="J14" s="93">
        <f t="shared" si="0"/>
        <v>1</v>
      </c>
      <c r="K14" s="94">
        <f t="shared" si="2"/>
        <v>0</v>
      </c>
      <c r="L14" s="95">
        <f t="shared" si="3"/>
        <v>0</v>
      </c>
      <c r="M14" s="96">
        <f t="shared" si="4"/>
        <v>75</v>
      </c>
      <c r="N14" s="97">
        <f t="shared" si="5"/>
        <v>0</v>
      </c>
      <c r="O14" s="97">
        <f t="shared" si="7"/>
        <v>0</v>
      </c>
      <c r="P14" s="95">
        <v>5000</v>
      </c>
      <c r="Q14" s="98">
        <f t="shared" si="6"/>
        <v>5000</v>
      </c>
      <c r="R14" s="99"/>
    </row>
    <row r="15" spans="1:18" ht="69" x14ac:dyDescent="0.3">
      <c r="A15" s="86" t="str">
        <f>IF(TRIM(H15)&lt;&gt;"",COUNTA(H$9:$H15)&amp;"","")</f>
        <v>7</v>
      </c>
      <c r="B15" s="87"/>
      <c r="C15" s="87"/>
      <c r="D15" s="88"/>
      <c r="E15" s="89" t="s">
        <v>220</v>
      </c>
      <c r="F15" s="90">
        <v>1</v>
      </c>
      <c r="H15" s="91" t="s">
        <v>218</v>
      </c>
      <c r="I15" s="92">
        <f t="shared" ref="I15:I18" si="8">IF(F15=0,"",0)</f>
        <v>0</v>
      </c>
      <c r="J15" s="93">
        <f t="shared" ref="J15:J18" si="9">IF(F15=0,"",F15+(F15*I15))</f>
        <v>1</v>
      </c>
      <c r="K15" s="94">
        <f t="shared" ref="K15:K18" si="10">IF(F15=0,"",0)</f>
        <v>0</v>
      </c>
      <c r="L15" s="95">
        <f t="shared" ref="L15:L18" si="11">IF(F15=0,"",K15*J15)</f>
        <v>0</v>
      </c>
      <c r="M15" s="96">
        <f t="shared" ref="M15:M18" si="12">IF(F15=0,"",M$7)</f>
        <v>75</v>
      </c>
      <c r="N15" s="97">
        <f t="shared" ref="N15:N18" si="13">IF(F15=0,"",0)</f>
        <v>0</v>
      </c>
      <c r="O15" s="97">
        <f t="shared" ref="O15:O18" si="14">IF(F15=0,"",N15*J15)</f>
        <v>0</v>
      </c>
      <c r="P15" s="95">
        <v>5000</v>
      </c>
      <c r="Q15" s="98">
        <f t="shared" ref="Q15:Q18" si="15">IF(F15=0,"",L15+P15)</f>
        <v>5000</v>
      </c>
      <c r="R15" s="99"/>
    </row>
    <row r="16" spans="1:18" x14ac:dyDescent="0.3">
      <c r="A16" s="86" t="str">
        <f>IF(TRIM(H16)&lt;&gt;"",COUNTA(H$9:$H16)&amp;"","")</f>
        <v>8</v>
      </c>
      <c r="B16" s="87"/>
      <c r="C16" s="87"/>
      <c r="D16" s="88"/>
      <c r="E16" s="100" t="s">
        <v>165</v>
      </c>
      <c r="F16" s="90">
        <v>1</v>
      </c>
      <c r="H16" s="91" t="s">
        <v>218</v>
      </c>
      <c r="I16" s="92">
        <f t="shared" ref="I16" si="16">IF(F16=0,"",0)</f>
        <v>0</v>
      </c>
      <c r="J16" s="93">
        <f t="shared" ref="J16" si="17">IF(F16=0,"",F16+(F16*I16))</f>
        <v>1</v>
      </c>
      <c r="K16" s="94">
        <f t="shared" ref="K16" si="18">IF(F16=0,"",0)</f>
        <v>0</v>
      </c>
      <c r="L16" s="95">
        <f t="shared" ref="L16" si="19">IF(F16=0,"",K16*J16)</f>
        <v>0</v>
      </c>
      <c r="M16" s="96">
        <f t="shared" ref="M16" si="20">IF(F16=0,"",M$7)</f>
        <v>75</v>
      </c>
      <c r="N16" s="97">
        <f t="shared" ref="N16" si="21">IF(F16=0,"",0)</f>
        <v>0</v>
      </c>
      <c r="O16" s="97">
        <f t="shared" ref="O16" si="22">IF(F16=0,"",N16*J16)</f>
        <v>0</v>
      </c>
      <c r="P16" s="95">
        <v>2000</v>
      </c>
      <c r="Q16" s="98">
        <f t="shared" ref="Q16" si="23">IF(F16=0,"",L16+P16)</f>
        <v>2000</v>
      </c>
      <c r="R16" s="99"/>
    </row>
    <row r="17" spans="1:18" x14ac:dyDescent="0.3">
      <c r="A17" s="86" t="str">
        <f>IF(TRIM(H17)&lt;&gt;"",COUNTA(H$9:$H17)&amp;"","")</f>
        <v>9</v>
      </c>
      <c r="B17" s="87"/>
      <c r="C17" s="87"/>
      <c r="D17" s="88"/>
      <c r="E17" s="100" t="s">
        <v>222</v>
      </c>
      <c r="F17" s="90">
        <v>1</v>
      </c>
      <c r="H17" s="91" t="s">
        <v>218</v>
      </c>
      <c r="I17" s="92">
        <f>IF(F17=0,"",0)</f>
        <v>0</v>
      </c>
      <c r="J17" s="93">
        <f>IF(F17=0,"",F17+(F17*I17))</f>
        <v>1</v>
      </c>
      <c r="K17" s="94">
        <f>IF(F17=0,"",0)</f>
        <v>0</v>
      </c>
      <c r="L17" s="95">
        <f>IF(F17=0,"",K17*J17)</f>
        <v>0</v>
      </c>
      <c r="M17" s="96">
        <f>IF(F17=0,"",M$7)</f>
        <v>75</v>
      </c>
      <c r="N17" s="97">
        <f>IF(F17=0,"",0)</f>
        <v>0</v>
      </c>
      <c r="O17" s="97">
        <f>IF(F17=0,"",N17*J17)</f>
        <v>0</v>
      </c>
      <c r="P17" s="95">
        <v>1000</v>
      </c>
      <c r="Q17" s="98">
        <f>IF(F17=0,"",L17+P17)</f>
        <v>1000</v>
      </c>
      <c r="R17" s="99"/>
    </row>
    <row r="18" spans="1:18" x14ac:dyDescent="0.3">
      <c r="A18" s="86" t="str">
        <f>IF(TRIM(H18)&lt;&gt;"",COUNTA(H$9:$H18)&amp;"","")</f>
        <v>10</v>
      </c>
      <c r="B18" s="87"/>
      <c r="C18" s="87"/>
      <c r="D18" s="88"/>
      <c r="E18" s="100" t="s">
        <v>223</v>
      </c>
      <c r="F18" s="90">
        <v>1</v>
      </c>
      <c r="H18" s="91" t="s">
        <v>218</v>
      </c>
      <c r="I18" s="92">
        <f t="shared" si="8"/>
        <v>0</v>
      </c>
      <c r="J18" s="93">
        <f t="shared" si="9"/>
        <v>1</v>
      </c>
      <c r="K18" s="94">
        <f t="shared" si="10"/>
        <v>0</v>
      </c>
      <c r="L18" s="95">
        <f t="shared" si="11"/>
        <v>0</v>
      </c>
      <c r="M18" s="96">
        <f t="shared" si="12"/>
        <v>75</v>
      </c>
      <c r="N18" s="97">
        <f t="shared" si="13"/>
        <v>0</v>
      </c>
      <c r="O18" s="97">
        <f t="shared" si="14"/>
        <v>0</v>
      </c>
      <c r="P18" s="95">
        <v>3000</v>
      </c>
      <c r="Q18" s="98">
        <f t="shared" si="15"/>
        <v>3000</v>
      </c>
      <c r="R18" s="99"/>
    </row>
    <row r="19" spans="1:18" x14ac:dyDescent="0.3">
      <c r="A19" s="86" t="str">
        <f>IF(TRIM(H19)&lt;&gt;"",COUNTA(H$9:$H19)&amp;"","")</f>
        <v>11</v>
      </c>
      <c r="B19" s="87" t="s">
        <v>482</v>
      </c>
      <c r="C19" s="87"/>
      <c r="D19" s="88"/>
      <c r="E19" s="89" t="s">
        <v>217</v>
      </c>
      <c r="F19" s="90">
        <v>1885</v>
      </c>
      <c r="H19" s="91" t="s">
        <v>184</v>
      </c>
      <c r="I19" s="92">
        <f t="shared" ref="I19:I20" si="24">IF(F19=0,"",0)</f>
        <v>0</v>
      </c>
      <c r="J19" s="93">
        <f t="shared" ref="J19:J20" si="25">IF(F19=0,"",F19+(F19*I19))</f>
        <v>1885</v>
      </c>
      <c r="K19" s="94">
        <v>3.95</v>
      </c>
      <c r="L19" s="95">
        <f t="shared" ref="L19:L20" si="26">IF(F19=0,"",K19*J19)</f>
        <v>7445.75</v>
      </c>
      <c r="M19" s="96">
        <f t="shared" ref="M19:M20" si="27">IF(F19=0,"",M$7)</f>
        <v>75</v>
      </c>
      <c r="N19" s="97">
        <v>0.05</v>
      </c>
      <c r="O19" s="97">
        <f t="shared" ref="O19:O20" si="28">IF(F19=0,"",N19*J19)</f>
        <v>94.25</v>
      </c>
      <c r="P19" s="95">
        <f t="shared" ref="P19:P20" si="29">IF(F19=0,"",O19*M19)</f>
        <v>7068.75</v>
      </c>
      <c r="Q19" s="98">
        <f t="shared" ref="Q19:Q20" si="30">IF(F19=0,"",L19+P19)</f>
        <v>14514.5</v>
      </c>
      <c r="R19" s="99"/>
    </row>
    <row r="20" spans="1:18" ht="15" thickBot="1" x14ac:dyDescent="0.35">
      <c r="A20" s="86" t="str">
        <f>IF(TRIM(H20)&lt;&gt;"",COUNTA(H$9:$H20)&amp;"","")</f>
        <v/>
      </c>
      <c r="B20" s="101"/>
      <c r="C20" s="101"/>
      <c r="D20" s="88"/>
      <c r="E20" s="102"/>
      <c r="F20" s="90"/>
      <c r="H20" s="91"/>
      <c r="I20" s="92" t="str">
        <f t="shared" si="24"/>
        <v/>
      </c>
      <c r="J20" s="93" t="str">
        <f t="shared" si="25"/>
        <v/>
      </c>
      <c r="K20" s="94" t="str">
        <f t="shared" ref="K20" si="31">IF(F20=0,"",0)</f>
        <v/>
      </c>
      <c r="L20" s="95" t="str">
        <f t="shared" si="26"/>
        <v/>
      </c>
      <c r="M20" s="96" t="str">
        <f t="shared" si="27"/>
        <v/>
      </c>
      <c r="N20" s="97" t="str">
        <f t="shared" ref="N20" si="32">IF(F20=0,"",0)</f>
        <v/>
      </c>
      <c r="O20" s="97" t="str">
        <f t="shared" si="28"/>
        <v/>
      </c>
      <c r="P20" s="95" t="str">
        <f t="shared" si="29"/>
        <v/>
      </c>
      <c r="Q20" s="98" t="str">
        <f t="shared" si="30"/>
        <v/>
      </c>
      <c r="R20" s="99"/>
    </row>
    <row r="21" spans="1:18" s="114" customFormat="1" ht="16.2" thickBot="1" x14ac:dyDescent="0.35">
      <c r="A21" s="86" t="str">
        <f>IF(TRIM(H21)&lt;&gt;"",COUNTA(H$9:$H21)&amp;"","")</f>
        <v/>
      </c>
      <c r="B21" s="103"/>
      <c r="C21" s="103"/>
      <c r="D21" s="104"/>
      <c r="E21" s="105"/>
      <c r="F21" s="106"/>
      <c r="H21" s="107"/>
      <c r="I21" s="108" t="s">
        <v>12</v>
      </c>
      <c r="J21" s="109"/>
      <c r="K21" s="110">
        <f>SUM(L$8:L$20)</f>
        <v>7445.75</v>
      </c>
      <c r="L21" s="190" t="s">
        <v>13</v>
      </c>
      <c r="M21" s="191"/>
      <c r="N21" s="111">
        <f>SUM(P$8:P$20)</f>
        <v>238568.75</v>
      </c>
      <c r="O21" s="190" t="s">
        <v>42</v>
      </c>
      <c r="P21" s="191"/>
      <c r="Q21" s="112">
        <f>SUM(O$8:O$20)</f>
        <v>94.25</v>
      </c>
      <c r="R21" s="113">
        <f>SUM(Q$8:Q$20)</f>
        <v>246014.5</v>
      </c>
    </row>
    <row r="22" spans="1:18" s="171" customFormat="1" ht="20.100000000000001" customHeight="1" x14ac:dyDescent="0.3">
      <c r="A22" s="167" t="str">
        <f>IF(TRIM(H22)&lt;&gt;"",COUNTA(H$9:$H22)&amp;"","")</f>
        <v/>
      </c>
      <c r="B22" s="168"/>
      <c r="C22" s="168"/>
      <c r="D22" s="169" t="s">
        <v>55</v>
      </c>
      <c r="E22" s="169" t="s">
        <v>69</v>
      </c>
      <c r="F22" s="170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72"/>
    </row>
    <row r="23" spans="1:18" s="116" customFormat="1" ht="19.2" customHeight="1" x14ac:dyDescent="0.3">
      <c r="A23" s="86" t="str">
        <f>IF(TRIM(H23)&lt;&gt;"",COUNTA(H$9:$H23)&amp;"","")</f>
        <v/>
      </c>
      <c r="B23" s="115"/>
      <c r="C23" s="115"/>
      <c r="D23" s="88" t="s">
        <v>70</v>
      </c>
      <c r="E23" s="164" t="s">
        <v>68</v>
      </c>
      <c r="F23" s="90"/>
      <c r="H23" s="91"/>
      <c r="I23" s="92" t="str">
        <f t="shared" ref="I23:I29" si="33">IF(F23=0,"",0)</f>
        <v/>
      </c>
      <c r="J23" s="93" t="str">
        <f t="shared" ref="J23:J29" si="34">IF(F23=0,"",F23+(F23*I23))</f>
        <v/>
      </c>
      <c r="K23" s="94" t="str">
        <f t="shared" ref="K23:K29" si="35">IF(F23=0,"",0)</f>
        <v/>
      </c>
      <c r="L23" s="95" t="str">
        <f t="shared" ref="L23:L29" si="36">IF(F23=0,"",K23*J23)</f>
        <v/>
      </c>
      <c r="M23" s="96" t="str">
        <f t="shared" ref="M23:M29" si="37">IF(F23=0,"",M$7)</f>
        <v/>
      </c>
      <c r="N23" s="97" t="str">
        <f t="shared" ref="N23" si="38">IF(F23=0,"",0)</f>
        <v/>
      </c>
      <c r="O23" s="97" t="str">
        <f t="shared" ref="O23:O29" si="39">IF(F23=0,"",N23*J23)</f>
        <v/>
      </c>
      <c r="P23" s="95" t="str">
        <f t="shared" ref="P23:P29" si="40">IF(F23=0,"",O23*M23)</f>
        <v/>
      </c>
      <c r="Q23" s="98" t="str">
        <f t="shared" ref="Q23:Q29" si="41">IF(F23=0,"",L23+P23)</f>
        <v/>
      </c>
      <c r="R23" s="99"/>
    </row>
    <row r="24" spans="1:18" x14ac:dyDescent="0.3">
      <c r="A24" s="86" t="str">
        <f>IF(TRIM(H24)&lt;&gt;"",COUNTA(H$9:$H24)&amp;"","")</f>
        <v>12</v>
      </c>
      <c r="B24" s="87" t="s">
        <v>229</v>
      </c>
      <c r="C24" s="87"/>
      <c r="D24" s="87"/>
      <c r="E24" s="100" t="s">
        <v>231</v>
      </c>
      <c r="F24" s="90">
        <v>4811</v>
      </c>
      <c r="G24" s="65">
        <f>2846+1767+2*95+8</f>
        <v>4811</v>
      </c>
      <c r="H24" s="91" t="s">
        <v>184</v>
      </c>
      <c r="I24" s="92">
        <f t="shared" si="33"/>
        <v>0</v>
      </c>
      <c r="J24" s="93">
        <f t="shared" si="34"/>
        <v>4811</v>
      </c>
      <c r="K24" s="94">
        <f t="shared" si="35"/>
        <v>0</v>
      </c>
      <c r="L24" s="95">
        <f t="shared" si="36"/>
        <v>0</v>
      </c>
      <c r="M24" s="96">
        <f t="shared" si="37"/>
        <v>75</v>
      </c>
      <c r="N24" s="97">
        <v>6.5000000000000002E-2</v>
      </c>
      <c r="O24" s="97">
        <f t="shared" si="39"/>
        <v>312.71500000000003</v>
      </c>
      <c r="P24" s="95">
        <f t="shared" si="40"/>
        <v>23453.625000000004</v>
      </c>
      <c r="Q24" s="98">
        <f t="shared" si="41"/>
        <v>23453.625000000004</v>
      </c>
      <c r="R24" s="99"/>
    </row>
    <row r="25" spans="1:18" x14ac:dyDescent="0.3">
      <c r="A25" s="86" t="str">
        <f>IF(TRIM(H25)&lt;&gt;"",COUNTA(H$9:$H25)&amp;"","")</f>
        <v>13</v>
      </c>
      <c r="B25" s="87" t="s">
        <v>229</v>
      </c>
      <c r="C25" s="87"/>
      <c r="D25" s="87"/>
      <c r="E25" s="100" t="s">
        <v>230</v>
      </c>
      <c r="F25" s="90">
        <v>530</v>
      </c>
      <c r="H25" s="91" t="s">
        <v>210</v>
      </c>
      <c r="I25" s="92">
        <f t="shared" si="33"/>
        <v>0</v>
      </c>
      <c r="J25" s="93">
        <f t="shared" si="34"/>
        <v>530</v>
      </c>
      <c r="K25" s="94">
        <f t="shared" si="35"/>
        <v>0</v>
      </c>
      <c r="L25" s="95">
        <f t="shared" si="36"/>
        <v>0</v>
      </c>
      <c r="M25" s="96">
        <f t="shared" si="37"/>
        <v>75</v>
      </c>
      <c r="N25" s="97">
        <v>0.1125</v>
      </c>
      <c r="O25" s="97">
        <f t="shared" si="39"/>
        <v>59.625</v>
      </c>
      <c r="P25" s="95">
        <f t="shared" si="40"/>
        <v>4471.875</v>
      </c>
      <c r="Q25" s="98">
        <f t="shared" si="41"/>
        <v>4471.875</v>
      </c>
      <c r="R25" s="99"/>
    </row>
    <row r="26" spans="1:18" x14ac:dyDescent="0.3">
      <c r="A26" s="86" t="str">
        <f>IF(TRIM(H26)&lt;&gt;"",COUNTA(H$9:$H26)&amp;"","")</f>
        <v>14</v>
      </c>
      <c r="B26" s="87" t="s">
        <v>229</v>
      </c>
      <c r="C26" s="87"/>
      <c r="D26" s="87"/>
      <c r="E26" s="100" t="s">
        <v>232</v>
      </c>
      <c r="F26" s="90">
        <v>4</v>
      </c>
      <c r="H26" s="91" t="s">
        <v>210</v>
      </c>
      <c r="I26" s="92">
        <f t="shared" si="33"/>
        <v>0</v>
      </c>
      <c r="J26" s="93">
        <f t="shared" si="34"/>
        <v>4</v>
      </c>
      <c r="K26" s="94">
        <f t="shared" si="35"/>
        <v>0</v>
      </c>
      <c r="L26" s="95">
        <f t="shared" si="36"/>
        <v>0</v>
      </c>
      <c r="M26" s="96">
        <f t="shared" si="37"/>
        <v>75</v>
      </c>
      <c r="N26" s="97">
        <v>2.125</v>
      </c>
      <c r="O26" s="97">
        <f t="shared" si="39"/>
        <v>8.5</v>
      </c>
      <c r="P26" s="95">
        <f t="shared" si="40"/>
        <v>637.5</v>
      </c>
      <c r="Q26" s="98">
        <f t="shared" si="41"/>
        <v>637.5</v>
      </c>
      <c r="R26" s="99"/>
    </row>
    <row r="27" spans="1:18" x14ac:dyDescent="0.3">
      <c r="A27" s="86" t="str">
        <f>IF(TRIM(H27)&lt;&gt;"",COUNTA(H$9:$H27)&amp;"","")</f>
        <v>15</v>
      </c>
      <c r="B27" s="87" t="s">
        <v>229</v>
      </c>
      <c r="C27" s="87"/>
      <c r="D27" s="87"/>
      <c r="E27" s="100" t="s">
        <v>233</v>
      </c>
      <c r="F27" s="90">
        <v>4</v>
      </c>
      <c r="H27" s="91" t="s">
        <v>210</v>
      </c>
      <c r="I27" s="92">
        <f t="shared" si="33"/>
        <v>0</v>
      </c>
      <c r="J27" s="93">
        <f t="shared" si="34"/>
        <v>4</v>
      </c>
      <c r="K27" s="94">
        <f t="shared" si="35"/>
        <v>0</v>
      </c>
      <c r="L27" s="95">
        <f t="shared" si="36"/>
        <v>0</v>
      </c>
      <c r="M27" s="96">
        <f t="shared" si="37"/>
        <v>75</v>
      </c>
      <c r="N27" s="97">
        <v>1.71875</v>
      </c>
      <c r="O27" s="97">
        <f t="shared" si="39"/>
        <v>6.875</v>
      </c>
      <c r="P27" s="95">
        <f t="shared" si="40"/>
        <v>515.625</v>
      </c>
      <c r="Q27" s="98">
        <f t="shared" si="41"/>
        <v>515.625</v>
      </c>
      <c r="R27" s="99"/>
    </row>
    <row r="28" spans="1:18" x14ac:dyDescent="0.3">
      <c r="A28" s="86" t="str">
        <f>IF(TRIM(H28)&lt;&gt;"",COUNTA(H$9:$H28)&amp;"","")</f>
        <v>16</v>
      </c>
      <c r="B28" s="87" t="s">
        <v>234</v>
      </c>
      <c r="C28" s="87" t="s">
        <v>236</v>
      </c>
      <c r="D28" s="87"/>
      <c r="E28" s="100" t="s">
        <v>235</v>
      </c>
      <c r="F28" s="90">
        <v>337</v>
      </c>
      <c r="G28" s="65">
        <f>24*9.34+10*11.25</f>
        <v>336.65999999999997</v>
      </c>
      <c r="H28" s="91" t="s">
        <v>184</v>
      </c>
      <c r="I28" s="92">
        <f t="shared" si="33"/>
        <v>0</v>
      </c>
      <c r="J28" s="93">
        <f t="shared" si="34"/>
        <v>337</v>
      </c>
      <c r="K28" s="94">
        <f t="shared" si="35"/>
        <v>0</v>
      </c>
      <c r="L28" s="95">
        <f t="shared" si="36"/>
        <v>0</v>
      </c>
      <c r="M28" s="96">
        <f t="shared" si="37"/>
        <v>75</v>
      </c>
      <c r="N28" s="97">
        <v>0.21249999999999999</v>
      </c>
      <c r="O28" s="97">
        <f t="shared" si="39"/>
        <v>71.612499999999997</v>
      </c>
      <c r="P28" s="95">
        <f t="shared" si="40"/>
        <v>5370.9375</v>
      </c>
      <c r="Q28" s="98">
        <f t="shared" si="41"/>
        <v>5370.9375</v>
      </c>
      <c r="R28" s="99"/>
    </row>
    <row r="29" spans="1:18" x14ac:dyDescent="0.3">
      <c r="A29" s="86" t="str">
        <f>IF(TRIM(H29)&lt;&gt;"",COUNTA(H$9:$H29)&amp;"","")</f>
        <v>17</v>
      </c>
      <c r="B29" s="87" t="s">
        <v>234</v>
      </c>
      <c r="C29" s="87" t="s">
        <v>238</v>
      </c>
      <c r="D29" s="87"/>
      <c r="E29" s="100" t="s">
        <v>237</v>
      </c>
      <c r="F29" s="90">
        <v>1</v>
      </c>
      <c r="H29" s="91" t="s">
        <v>239</v>
      </c>
      <c r="I29" s="92">
        <f t="shared" si="33"/>
        <v>0</v>
      </c>
      <c r="J29" s="93">
        <f t="shared" si="34"/>
        <v>1</v>
      </c>
      <c r="K29" s="94">
        <f t="shared" si="35"/>
        <v>0</v>
      </c>
      <c r="L29" s="95">
        <f t="shared" si="36"/>
        <v>0</v>
      </c>
      <c r="M29" s="96">
        <f t="shared" si="37"/>
        <v>75</v>
      </c>
      <c r="N29" s="97">
        <v>2.125</v>
      </c>
      <c r="O29" s="97">
        <f t="shared" si="39"/>
        <v>2.125</v>
      </c>
      <c r="P29" s="95">
        <f t="shared" si="40"/>
        <v>159.375</v>
      </c>
      <c r="Q29" s="98">
        <f t="shared" si="41"/>
        <v>159.375</v>
      </c>
      <c r="R29" s="99"/>
    </row>
    <row r="30" spans="1:18" x14ac:dyDescent="0.3">
      <c r="A30" s="86" t="str">
        <f>IF(TRIM(H30)&lt;&gt;"",COUNTA(H$9:$H30)&amp;"","")</f>
        <v>18</v>
      </c>
      <c r="B30" s="87" t="s">
        <v>234</v>
      </c>
      <c r="C30" s="87" t="s">
        <v>238</v>
      </c>
      <c r="D30" s="87"/>
      <c r="E30" s="100" t="s">
        <v>240</v>
      </c>
      <c r="F30" s="90">
        <v>1</v>
      </c>
      <c r="H30" s="91" t="s">
        <v>239</v>
      </c>
      <c r="I30" s="92">
        <f t="shared" ref="I30:I40" si="42">IF(F30=0,"",0)</f>
        <v>0</v>
      </c>
      <c r="J30" s="93">
        <f t="shared" ref="J30:J40" si="43">IF(F30=0,"",F30+(F30*I30))</f>
        <v>1</v>
      </c>
      <c r="K30" s="94">
        <f t="shared" ref="K30:K40" si="44">IF(F30=0,"",0)</f>
        <v>0</v>
      </c>
      <c r="L30" s="95">
        <f t="shared" ref="L30:L40" si="45">IF(F30=0,"",K30*J30)</f>
        <v>0</v>
      </c>
      <c r="M30" s="96">
        <f t="shared" ref="M30:M40" si="46">IF(F30=0,"",M$7)</f>
        <v>75</v>
      </c>
      <c r="N30" s="97">
        <v>3.75</v>
      </c>
      <c r="O30" s="97">
        <f t="shared" ref="O30:O40" si="47">IF(F30=0,"",N30*J30)</f>
        <v>3.75</v>
      </c>
      <c r="P30" s="95">
        <f t="shared" ref="P30:P40" si="48">IF(F30=0,"",O30*M30)</f>
        <v>281.25</v>
      </c>
      <c r="Q30" s="98">
        <f t="shared" ref="Q30:Q40" si="49">IF(F30=0,"",L30+P30)</f>
        <v>281.25</v>
      </c>
      <c r="R30" s="99"/>
    </row>
    <row r="31" spans="1:18" x14ac:dyDescent="0.3">
      <c r="A31" s="86" t="str">
        <f>IF(TRIM(H31)&lt;&gt;"",COUNTA(H$9:$H31)&amp;"","")</f>
        <v/>
      </c>
      <c r="B31" s="87"/>
      <c r="C31" s="87"/>
      <c r="D31" s="87"/>
      <c r="E31" s="100" t="s">
        <v>471</v>
      </c>
      <c r="F31" s="90"/>
      <c r="H31" s="91"/>
      <c r="I31" s="92" t="str">
        <f t="shared" si="42"/>
        <v/>
      </c>
      <c r="J31" s="93" t="str">
        <f t="shared" si="43"/>
        <v/>
      </c>
      <c r="K31" s="94" t="str">
        <f t="shared" si="44"/>
        <v/>
      </c>
      <c r="L31" s="95" t="str">
        <f t="shared" si="45"/>
        <v/>
      </c>
      <c r="M31" s="96" t="str">
        <f t="shared" si="46"/>
        <v/>
      </c>
      <c r="N31" s="97" t="s">
        <v>549</v>
      </c>
      <c r="O31" s="97" t="str">
        <f t="shared" si="47"/>
        <v/>
      </c>
      <c r="P31" s="95" t="str">
        <f t="shared" si="48"/>
        <v/>
      </c>
      <c r="Q31" s="98" t="str">
        <f t="shared" si="49"/>
        <v/>
      </c>
      <c r="R31" s="99"/>
    </row>
    <row r="32" spans="1:18" x14ac:dyDescent="0.3">
      <c r="A32" s="86" t="str">
        <f>IF(TRIM(H32)&lt;&gt;"",COUNTA(H$9:$H32)&amp;"","")</f>
        <v>19</v>
      </c>
      <c r="B32" s="87" t="s">
        <v>242</v>
      </c>
      <c r="C32" s="87" t="s">
        <v>243</v>
      </c>
      <c r="D32" s="87"/>
      <c r="E32" s="100" t="s">
        <v>241</v>
      </c>
      <c r="F32" s="90">
        <v>57</v>
      </c>
      <c r="H32" s="91" t="s">
        <v>210</v>
      </c>
      <c r="I32" s="92">
        <f t="shared" si="42"/>
        <v>0</v>
      </c>
      <c r="J32" s="93">
        <f t="shared" si="43"/>
        <v>57</v>
      </c>
      <c r="K32" s="94">
        <f t="shared" si="44"/>
        <v>0</v>
      </c>
      <c r="L32" s="95">
        <f t="shared" si="45"/>
        <v>0</v>
      </c>
      <c r="M32" s="96">
        <f t="shared" si="46"/>
        <v>75</v>
      </c>
      <c r="N32" s="97">
        <v>0.1125</v>
      </c>
      <c r="O32" s="97">
        <f t="shared" si="47"/>
        <v>6.4125000000000005</v>
      </c>
      <c r="P32" s="95">
        <f t="shared" si="48"/>
        <v>480.93750000000006</v>
      </c>
      <c r="Q32" s="98">
        <f t="shared" si="49"/>
        <v>480.93750000000006</v>
      </c>
      <c r="R32" s="99"/>
    </row>
    <row r="33" spans="1:18" x14ac:dyDescent="0.3">
      <c r="A33" s="86" t="str">
        <f>IF(TRIM(H33)&lt;&gt;"",COUNTA(H$9:$H33)&amp;"","")</f>
        <v>20</v>
      </c>
      <c r="B33" s="87" t="s">
        <v>242</v>
      </c>
      <c r="C33" s="87" t="s">
        <v>243</v>
      </c>
      <c r="D33" s="87"/>
      <c r="E33" s="100" t="s">
        <v>244</v>
      </c>
      <c r="F33" s="90">
        <v>39</v>
      </c>
      <c r="H33" s="91" t="s">
        <v>184</v>
      </c>
      <c r="I33" s="92">
        <f t="shared" si="42"/>
        <v>0</v>
      </c>
      <c r="J33" s="93">
        <f t="shared" si="43"/>
        <v>39</v>
      </c>
      <c r="K33" s="94">
        <f t="shared" si="44"/>
        <v>0</v>
      </c>
      <c r="L33" s="95">
        <f t="shared" si="45"/>
        <v>0</v>
      </c>
      <c r="M33" s="96">
        <f t="shared" si="46"/>
        <v>75</v>
      </c>
      <c r="N33" s="97">
        <v>6.9999999999999993E-2</v>
      </c>
      <c r="O33" s="97">
        <f t="shared" si="47"/>
        <v>2.7299999999999995</v>
      </c>
      <c r="P33" s="95">
        <f t="shared" si="48"/>
        <v>204.74999999999997</v>
      </c>
      <c r="Q33" s="98">
        <f t="shared" si="49"/>
        <v>204.74999999999997</v>
      </c>
      <c r="R33" s="99"/>
    </row>
    <row r="34" spans="1:18" x14ac:dyDescent="0.3">
      <c r="A34" s="86" t="str">
        <f>IF(TRIM(H34)&lt;&gt;"",COUNTA(H$9:$H34)&amp;"","")</f>
        <v>21</v>
      </c>
      <c r="B34" s="87" t="s">
        <v>242</v>
      </c>
      <c r="C34" s="87" t="s">
        <v>246</v>
      </c>
      <c r="D34" s="87"/>
      <c r="E34" s="100" t="s">
        <v>245</v>
      </c>
      <c r="F34" s="90">
        <v>28</v>
      </c>
      <c r="H34" s="91" t="s">
        <v>210</v>
      </c>
      <c r="I34" s="92">
        <f t="shared" si="42"/>
        <v>0</v>
      </c>
      <c r="J34" s="93">
        <f t="shared" si="43"/>
        <v>28</v>
      </c>
      <c r="K34" s="94">
        <f t="shared" si="44"/>
        <v>0</v>
      </c>
      <c r="L34" s="95">
        <f t="shared" si="45"/>
        <v>0</v>
      </c>
      <c r="M34" s="96">
        <f t="shared" si="46"/>
        <v>75</v>
      </c>
      <c r="N34" s="97">
        <v>0.10625</v>
      </c>
      <c r="O34" s="97">
        <f t="shared" si="47"/>
        <v>2.9750000000000001</v>
      </c>
      <c r="P34" s="95">
        <f t="shared" si="48"/>
        <v>223.125</v>
      </c>
      <c r="Q34" s="98">
        <f t="shared" si="49"/>
        <v>223.125</v>
      </c>
      <c r="R34" s="99"/>
    </row>
    <row r="35" spans="1:18" x14ac:dyDescent="0.3">
      <c r="A35" s="86" t="str">
        <f>IF(TRIM(H35)&lt;&gt;"",COUNTA(H$9:$H35)&amp;"","")</f>
        <v>22</v>
      </c>
      <c r="B35" s="87" t="s">
        <v>242</v>
      </c>
      <c r="C35" s="87" t="s">
        <v>248</v>
      </c>
      <c r="D35" s="87"/>
      <c r="E35" s="100" t="s">
        <v>247</v>
      </c>
      <c r="F35" s="90">
        <v>245</v>
      </c>
      <c r="H35" s="91" t="s">
        <v>184</v>
      </c>
      <c r="I35" s="92">
        <f t="shared" si="42"/>
        <v>0</v>
      </c>
      <c r="J35" s="93">
        <f t="shared" si="43"/>
        <v>245</v>
      </c>
      <c r="K35" s="94">
        <f t="shared" si="44"/>
        <v>0</v>
      </c>
      <c r="L35" s="95">
        <f t="shared" si="45"/>
        <v>0</v>
      </c>
      <c r="M35" s="96">
        <f t="shared" si="46"/>
        <v>75</v>
      </c>
      <c r="N35" s="97">
        <v>8.7499999999999994E-2</v>
      </c>
      <c r="O35" s="97">
        <f t="shared" si="47"/>
        <v>21.4375</v>
      </c>
      <c r="P35" s="95">
        <f t="shared" si="48"/>
        <v>1607.8125</v>
      </c>
      <c r="Q35" s="98">
        <f t="shared" si="49"/>
        <v>1607.8125</v>
      </c>
      <c r="R35" s="99"/>
    </row>
    <row r="36" spans="1:18" s="116" customFormat="1" ht="19.2" customHeight="1" x14ac:dyDescent="0.3">
      <c r="A36" s="86" t="str">
        <f>IF(TRIM(H36)&lt;&gt;"",COUNTA(H$9:$H36)&amp;"","")</f>
        <v/>
      </c>
      <c r="B36" s="115"/>
      <c r="C36" s="115"/>
      <c r="D36" s="87"/>
      <c r="E36" s="164" t="s">
        <v>519</v>
      </c>
      <c r="F36" s="90"/>
      <c r="H36" s="91"/>
      <c r="I36" s="92" t="str">
        <f t="shared" si="42"/>
        <v/>
      </c>
      <c r="J36" s="93" t="str">
        <f t="shared" si="43"/>
        <v/>
      </c>
      <c r="K36" s="94" t="str">
        <f t="shared" si="44"/>
        <v/>
      </c>
      <c r="L36" s="95" t="str">
        <f t="shared" si="45"/>
        <v/>
      </c>
      <c r="M36" s="96" t="str">
        <f t="shared" si="46"/>
        <v/>
      </c>
      <c r="N36" s="97" t="s">
        <v>549</v>
      </c>
      <c r="O36" s="97" t="str">
        <f t="shared" si="47"/>
        <v/>
      </c>
      <c r="P36" s="95" t="str">
        <f t="shared" si="48"/>
        <v/>
      </c>
      <c r="Q36" s="98" t="str">
        <f t="shared" si="49"/>
        <v/>
      </c>
      <c r="R36" s="99"/>
    </row>
    <row r="37" spans="1:18" ht="14.4" customHeight="1" x14ac:dyDescent="0.3">
      <c r="A37" s="86" t="str">
        <f>IF(TRIM(H37)&lt;&gt;"",COUNTA(H$9:$H37)&amp;"","")</f>
        <v>23</v>
      </c>
      <c r="B37" s="87" t="s">
        <v>515</v>
      </c>
      <c r="C37" s="87" t="s">
        <v>515</v>
      </c>
      <c r="D37" s="87"/>
      <c r="E37" s="89" t="s">
        <v>516</v>
      </c>
      <c r="F37" s="90">
        <v>388.58</v>
      </c>
      <c r="H37" s="91" t="s">
        <v>210</v>
      </c>
      <c r="I37" s="92">
        <f>IF(F37=0,"",0)</f>
        <v>0</v>
      </c>
      <c r="J37" s="93">
        <f t="shared" si="43"/>
        <v>388.58</v>
      </c>
      <c r="K37" s="94">
        <f>IF(F37=0,"",0)</f>
        <v>0</v>
      </c>
      <c r="L37" s="95">
        <f>IF(F37=0,"",K37*J37)</f>
        <v>0</v>
      </c>
      <c r="M37" s="96">
        <f>IF(F37=0,"",M$7)</f>
        <v>75</v>
      </c>
      <c r="N37" s="97">
        <v>8.7499999999999994E-2</v>
      </c>
      <c r="O37" s="97">
        <f>IF(F37=0,"",N37*J37)</f>
        <v>34.000749999999996</v>
      </c>
      <c r="P37" s="95">
        <f>IF(F37=0,"",O37*M37)</f>
        <v>2550.0562499999996</v>
      </c>
      <c r="Q37" s="98">
        <f>IF(F37=0,"",L37+P37)</f>
        <v>2550.0562499999996</v>
      </c>
      <c r="R37" s="99"/>
    </row>
    <row r="38" spans="1:18" ht="14.4" customHeight="1" x14ac:dyDescent="0.3">
      <c r="A38" s="86" t="str">
        <f>IF(TRIM(H38)&lt;&gt;"",COUNTA(H$9:$H38)&amp;"","")</f>
        <v>24</v>
      </c>
      <c r="B38" s="87" t="s">
        <v>242</v>
      </c>
      <c r="C38" s="87" t="s">
        <v>242</v>
      </c>
      <c r="D38" s="87"/>
      <c r="E38" s="89" t="s">
        <v>517</v>
      </c>
      <c r="F38" s="90">
        <v>2</v>
      </c>
      <c r="H38" s="91" t="s">
        <v>239</v>
      </c>
      <c r="I38" s="92">
        <f t="shared" ref="I38:I39" si="50">IF(F38=0,"",0)</f>
        <v>0</v>
      </c>
      <c r="J38" s="93">
        <f t="shared" si="43"/>
        <v>2</v>
      </c>
      <c r="K38" s="94">
        <f t="shared" ref="K38:K39" si="51">IF(F38=0,"",0)</f>
        <v>0</v>
      </c>
      <c r="L38" s="95">
        <f t="shared" ref="L38:L39" si="52">IF(F38=0,"",K38*J38)</f>
        <v>0</v>
      </c>
      <c r="M38" s="96">
        <f t="shared" ref="M38:M39" si="53">IF(F38=0,"",M$7)</f>
        <v>75</v>
      </c>
      <c r="N38" s="97">
        <v>6.25</v>
      </c>
      <c r="O38" s="97">
        <f t="shared" ref="O38:O39" si="54">IF(F38=0,"",N38*J38)</f>
        <v>12.5</v>
      </c>
      <c r="P38" s="95">
        <f t="shared" ref="P38:P39" si="55">IF(F38=0,"",O38*M38)</f>
        <v>937.5</v>
      </c>
      <c r="Q38" s="98">
        <f t="shared" ref="Q38:Q39" si="56">IF(F38=0,"",L38+P38)</f>
        <v>937.5</v>
      </c>
      <c r="R38" s="99"/>
    </row>
    <row r="39" spans="1:18" ht="14.4" customHeight="1" x14ac:dyDescent="0.3">
      <c r="A39" s="86" t="str">
        <f>IF(TRIM(H39)&lt;&gt;"",COUNTA(H$9:$H39)&amp;"","")</f>
        <v>25</v>
      </c>
      <c r="B39" s="87" t="s">
        <v>515</v>
      </c>
      <c r="C39" s="87" t="s">
        <v>515</v>
      </c>
      <c r="D39" s="87"/>
      <c r="E39" s="89" t="s">
        <v>518</v>
      </c>
      <c r="F39" s="90">
        <v>43</v>
      </c>
      <c r="H39" s="91" t="s">
        <v>239</v>
      </c>
      <c r="I39" s="92">
        <f t="shared" si="50"/>
        <v>0</v>
      </c>
      <c r="J39" s="93">
        <f t="shared" si="43"/>
        <v>43</v>
      </c>
      <c r="K39" s="94">
        <f t="shared" si="51"/>
        <v>0</v>
      </c>
      <c r="L39" s="95">
        <f t="shared" si="52"/>
        <v>0</v>
      </c>
      <c r="M39" s="96">
        <f t="shared" si="53"/>
        <v>75</v>
      </c>
      <c r="N39" s="97">
        <v>0.625</v>
      </c>
      <c r="O39" s="97">
        <f t="shared" si="54"/>
        <v>26.875</v>
      </c>
      <c r="P39" s="95">
        <f t="shared" si="55"/>
        <v>2015.625</v>
      </c>
      <c r="Q39" s="98">
        <f t="shared" si="56"/>
        <v>2015.625</v>
      </c>
      <c r="R39" s="99"/>
    </row>
    <row r="40" spans="1:18" ht="15" thickBot="1" x14ac:dyDescent="0.35">
      <c r="A40" s="86" t="str">
        <f>IF(TRIM(H40)&lt;&gt;"",COUNTA(H$9:$H40)&amp;"","")</f>
        <v/>
      </c>
      <c r="B40" s="101"/>
      <c r="C40" s="101"/>
      <c r="D40" s="88"/>
      <c r="E40" s="102"/>
      <c r="F40" s="90"/>
      <c r="H40" s="91"/>
      <c r="I40" s="92" t="str">
        <f t="shared" si="42"/>
        <v/>
      </c>
      <c r="J40" s="93" t="str">
        <f t="shared" si="43"/>
        <v/>
      </c>
      <c r="K40" s="94" t="str">
        <f t="shared" si="44"/>
        <v/>
      </c>
      <c r="L40" s="95" t="str">
        <f t="shared" si="45"/>
        <v/>
      </c>
      <c r="M40" s="96" t="str">
        <f t="shared" si="46"/>
        <v/>
      </c>
      <c r="N40" s="97" t="str">
        <f t="shared" ref="N40" si="57">IF(F40=0,"",0)</f>
        <v/>
      </c>
      <c r="O40" s="97" t="str">
        <f t="shared" si="47"/>
        <v/>
      </c>
      <c r="P40" s="95" t="str">
        <f t="shared" si="48"/>
        <v/>
      </c>
      <c r="Q40" s="98" t="str">
        <f t="shared" si="49"/>
        <v/>
      </c>
      <c r="R40" s="99"/>
    </row>
    <row r="41" spans="1:18" s="114" customFormat="1" ht="16.2" thickBot="1" x14ac:dyDescent="0.35">
      <c r="A41" s="86" t="str">
        <f>IF(TRIM(H41)&lt;&gt;"",COUNTA(H$9:$H41)&amp;"","")</f>
        <v/>
      </c>
      <c r="B41" s="103"/>
      <c r="C41" s="103"/>
      <c r="D41" s="104"/>
      <c r="E41" s="105"/>
      <c r="F41" s="106"/>
      <c r="H41" s="107"/>
      <c r="I41" s="108" t="s">
        <v>12</v>
      </c>
      <c r="J41" s="109"/>
      <c r="K41" s="110">
        <f>SUM(L$22:L$40)</f>
        <v>0</v>
      </c>
      <c r="L41" s="190" t="s">
        <v>13</v>
      </c>
      <c r="M41" s="191"/>
      <c r="N41" s="111">
        <f>SUM(P$22:P$40)</f>
        <v>42909.993750000001</v>
      </c>
      <c r="O41" s="190" t="s">
        <v>42</v>
      </c>
      <c r="P41" s="191"/>
      <c r="Q41" s="112">
        <f>SUM(O$22:O$40)</f>
        <v>572.13325000000009</v>
      </c>
      <c r="R41" s="113">
        <f>SUM(Q$22:Q$40)</f>
        <v>42909.993750000001</v>
      </c>
    </row>
    <row r="42" spans="1:18" s="171" customFormat="1" ht="20.100000000000001" customHeight="1" x14ac:dyDescent="0.3">
      <c r="A42" s="167" t="str">
        <f>IF(TRIM(H42)&lt;&gt;"",COUNTA(H$9:$H42)&amp;"","")</f>
        <v/>
      </c>
      <c r="B42" s="168"/>
      <c r="C42" s="168"/>
      <c r="D42" s="169" t="s">
        <v>56</v>
      </c>
      <c r="E42" s="169" t="s">
        <v>71</v>
      </c>
      <c r="F42" s="170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72"/>
    </row>
    <row r="43" spans="1:18" s="116" customFormat="1" ht="19.2" customHeight="1" x14ac:dyDescent="0.3">
      <c r="A43" s="86" t="str">
        <f>IF(TRIM(H43)&lt;&gt;"",COUNTA(H$9:$H43)&amp;"","")</f>
        <v/>
      </c>
      <c r="B43" s="115"/>
      <c r="C43" s="115"/>
      <c r="D43" s="88" t="s">
        <v>73</v>
      </c>
      <c r="E43" s="173" t="s">
        <v>72</v>
      </c>
      <c r="F43" s="90"/>
      <c r="H43" s="91"/>
      <c r="I43" s="92" t="str">
        <f t="shared" ref="I43:I55" si="58">IF(F43=0,"",0)</f>
        <v/>
      </c>
      <c r="J43" s="93" t="str">
        <f t="shared" ref="J43:J55" si="59">IF(F43=0,"",F43+(F43*I43))</f>
        <v/>
      </c>
      <c r="K43" s="94" t="str">
        <f t="shared" ref="K43:K55" si="60">IF(F43=0,"",0)</f>
        <v/>
      </c>
      <c r="L43" s="95" t="str">
        <f t="shared" ref="L43:L55" si="61">IF(F43=0,"",K43*J43)</f>
        <v/>
      </c>
      <c r="M43" s="96" t="str">
        <f t="shared" ref="M43:M55" si="62">IF(F43=0,"",M$7)</f>
        <v/>
      </c>
      <c r="N43" s="97" t="str">
        <f t="shared" ref="N43:N55" si="63">IF(F43=0,"",0)</f>
        <v/>
      </c>
      <c r="O43" s="97" t="str">
        <f t="shared" ref="O43:O55" si="64">IF(F43=0,"",N43*J43)</f>
        <v/>
      </c>
      <c r="P43" s="95" t="str">
        <f t="shared" ref="P43:P55" si="65">IF(F43=0,"",O43*M43)</f>
        <v/>
      </c>
      <c r="Q43" s="98" t="str">
        <f t="shared" ref="Q43:Q55" si="66">IF(F43=0,"",L43+P43)</f>
        <v/>
      </c>
      <c r="R43" s="99"/>
    </row>
    <row r="44" spans="1:18" x14ac:dyDescent="0.3">
      <c r="A44" s="86" t="str">
        <f>IF(TRIM(H44)&lt;&gt;"",COUNTA(H$9:$H44)&amp;"","")</f>
        <v>26</v>
      </c>
      <c r="B44" s="87" t="s">
        <v>250</v>
      </c>
      <c r="C44" s="87"/>
      <c r="D44" s="87"/>
      <c r="E44" s="100" t="s">
        <v>249</v>
      </c>
      <c r="F44" s="157">
        <v>0.5</v>
      </c>
      <c r="G44" s="65">
        <f>3.5*3.5*1/27</f>
        <v>0.45370370370370372</v>
      </c>
      <c r="H44" s="91" t="s">
        <v>212</v>
      </c>
      <c r="I44" s="92">
        <f t="shared" ref="I44:I47" si="67">IF(F44=0,"",0)</f>
        <v>0</v>
      </c>
      <c r="J44" s="93">
        <f t="shared" ref="J44:J47" si="68">IF(F44=0,"",F44+(F44*I44))</f>
        <v>0.5</v>
      </c>
      <c r="K44" s="94">
        <v>245</v>
      </c>
      <c r="L44" s="95">
        <f t="shared" ref="L44:L47" si="69">IF(F44=0,"",K44*J44)</f>
        <v>122.5</v>
      </c>
      <c r="M44" s="96">
        <f t="shared" ref="M44:M47" si="70">IF(F44=0,"",M$7)</f>
        <v>75</v>
      </c>
      <c r="N44" s="97">
        <v>2.625</v>
      </c>
      <c r="O44" s="97">
        <f t="shared" ref="O44:O47" si="71">IF(F44=0,"",N44*J44)</f>
        <v>1.3125</v>
      </c>
      <c r="P44" s="95">
        <f t="shared" ref="P44:P47" si="72">IF(F44=0,"",O44*M44)</f>
        <v>98.4375</v>
      </c>
      <c r="Q44" s="98">
        <f t="shared" ref="Q44:Q47" si="73">IF(F44=0,"",L44+P44)</f>
        <v>220.9375</v>
      </c>
      <c r="R44" s="99"/>
    </row>
    <row r="45" spans="1:18" x14ac:dyDescent="0.3">
      <c r="A45" s="86" t="str">
        <f>IF(TRIM(H45)&lt;&gt;"",COUNTA(H$9:$H45)&amp;"","")</f>
        <v>27</v>
      </c>
      <c r="B45" s="87" t="s">
        <v>250</v>
      </c>
      <c r="C45" s="87"/>
      <c r="D45" s="87"/>
      <c r="E45" s="100" t="s">
        <v>251</v>
      </c>
      <c r="F45" s="157">
        <v>0.2</v>
      </c>
      <c r="G45" s="65">
        <f>1.5*1.5*2/27</f>
        <v>0.16666666666666666</v>
      </c>
      <c r="H45" s="91" t="s">
        <v>212</v>
      </c>
      <c r="I45" s="92">
        <f t="shared" si="67"/>
        <v>0</v>
      </c>
      <c r="J45" s="93">
        <f t="shared" si="68"/>
        <v>0.2</v>
      </c>
      <c r="K45" s="94">
        <v>245</v>
      </c>
      <c r="L45" s="95">
        <f t="shared" si="69"/>
        <v>49</v>
      </c>
      <c r="M45" s="96">
        <f t="shared" si="70"/>
        <v>75</v>
      </c>
      <c r="N45" s="97">
        <v>2.625</v>
      </c>
      <c r="O45" s="97">
        <f t="shared" si="71"/>
        <v>0.52500000000000002</v>
      </c>
      <c r="P45" s="95">
        <f t="shared" si="72"/>
        <v>39.375</v>
      </c>
      <c r="Q45" s="98">
        <f t="shared" si="73"/>
        <v>88.375</v>
      </c>
      <c r="R45" s="99"/>
    </row>
    <row r="46" spans="1:18" ht="55.2" x14ac:dyDescent="0.3">
      <c r="A46" s="86" t="str">
        <f>IF(TRIM(H46)&lt;&gt;"",COUNTA(H$9:$H46)&amp;"","")</f>
        <v>28</v>
      </c>
      <c r="B46" s="87" t="s">
        <v>250</v>
      </c>
      <c r="C46" s="87" t="s">
        <v>253</v>
      </c>
      <c r="D46" s="87"/>
      <c r="E46" s="100" t="s">
        <v>252</v>
      </c>
      <c r="F46" s="90">
        <v>202</v>
      </c>
      <c r="H46" s="91" t="s">
        <v>184</v>
      </c>
      <c r="I46" s="92">
        <f t="shared" si="67"/>
        <v>0</v>
      </c>
      <c r="J46" s="93">
        <f t="shared" si="68"/>
        <v>202</v>
      </c>
      <c r="K46" s="94">
        <v>3.5999999999999996</v>
      </c>
      <c r="L46" s="95">
        <f t="shared" si="69"/>
        <v>727.19999999999993</v>
      </c>
      <c r="M46" s="96">
        <f t="shared" si="70"/>
        <v>75</v>
      </c>
      <c r="N46" s="97">
        <v>6.0000000000000012E-2</v>
      </c>
      <c r="O46" s="97">
        <f t="shared" si="71"/>
        <v>12.120000000000003</v>
      </c>
      <c r="P46" s="95">
        <f t="shared" si="72"/>
        <v>909.00000000000023</v>
      </c>
      <c r="Q46" s="98">
        <f t="shared" si="73"/>
        <v>1636.2000000000003</v>
      </c>
      <c r="R46" s="99"/>
    </row>
    <row r="47" spans="1:18" ht="55.2" x14ac:dyDescent="0.3">
      <c r="A47" s="86" t="str">
        <f>IF(TRIM(H47)&lt;&gt;"",COUNTA(H$9:$H47)&amp;"","")</f>
        <v>29</v>
      </c>
      <c r="B47" s="87" t="s">
        <v>250</v>
      </c>
      <c r="C47" s="87" t="s">
        <v>256</v>
      </c>
      <c r="D47" s="87"/>
      <c r="E47" s="102" t="s">
        <v>255</v>
      </c>
      <c r="F47" s="90">
        <v>1230</v>
      </c>
      <c r="H47" s="91" t="s">
        <v>184</v>
      </c>
      <c r="I47" s="92">
        <f t="shared" si="67"/>
        <v>0</v>
      </c>
      <c r="J47" s="93">
        <f t="shared" si="68"/>
        <v>1230</v>
      </c>
      <c r="K47" s="94">
        <v>4.8</v>
      </c>
      <c r="L47" s="95">
        <f t="shared" si="69"/>
        <v>5904</v>
      </c>
      <c r="M47" s="96">
        <f t="shared" si="70"/>
        <v>75</v>
      </c>
      <c r="N47" s="97">
        <v>0.08</v>
      </c>
      <c r="O47" s="97">
        <f t="shared" si="71"/>
        <v>98.4</v>
      </c>
      <c r="P47" s="95">
        <f t="shared" si="72"/>
        <v>7380</v>
      </c>
      <c r="Q47" s="98">
        <f t="shared" si="73"/>
        <v>13284</v>
      </c>
      <c r="R47" s="99"/>
    </row>
    <row r="48" spans="1:18" ht="69" x14ac:dyDescent="0.3">
      <c r="A48" s="86" t="str">
        <f>IF(TRIM(H48)&lt;&gt;"",COUNTA(H$9:$H48)&amp;"","")</f>
        <v>30</v>
      </c>
      <c r="B48" s="87" t="s">
        <v>250</v>
      </c>
      <c r="C48" s="87" t="s">
        <v>256</v>
      </c>
      <c r="D48" s="87"/>
      <c r="E48" s="102" t="s">
        <v>258</v>
      </c>
      <c r="F48" s="90">
        <v>1625</v>
      </c>
      <c r="H48" s="91" t="s">
        <v>184</v>
      </c>
      <c r="I48" s="92">
        <f t="shared" si="58"/>
        <v>0</v>
      </c>
      <c r="J48" s="93">
        <f t="shared" si="59"/>
        <v>1625</v>
      </c>
      <c r="K48" s="94">
        <v>7.1999999999999993</v>
      </c>
      <c r="L48" s="95">
        <f t="shared" si="61"/>
        <v>11699.999999999998</v>
      </c>
      <c r="M48" s="96">
        <f t="shared" si="62"/>
        <v>75</v>
      </c>
      <c r="N48" s="97">
        <v>0.12000000000000002</v>
      </c>
      <c r="O48" s="97">
        <f t="shared" si="64"/>
        <v>195.00000000000003</v>
      </c>
      <c r="P48" s="95">
        <f t="shared" si="65"/>
        <v>14625.000000000002</v>
      </c>
      <c r="Q48" s="98">
        <f t="shared" si="66"/>
        <v>26325</v>
      </c>
      <c r="R48" s="99"/>
    </row>
    <row r="49" spans="1:18" ht="55.2" x14ac:dyDescent="0.3">
      <c r="A49" s="86" t="str">
        <f>IF(TRIM(H49)&lt;&gt;"",COUNTA(H$9:$H49)&amp;"","")</f>
        <v>31</v>
      </c>
      <c r="B49" s="87" t="s">
        <v>250</v>
      </c>
      <c r="C49" s="87" t="s">
        <v>256</v>
      </c>
      <c r="D49" s="87"/>
      <c r="E49" s="102" t="s">
        <v>257</v>
      </c>
      <c r="F49" s="90">
        <v>39</v>
      </c>
      <c r="H49" s="91" t="s">
        <v>184</v>
      </c>
      <c r="I49" s="92">
        <f t="shared" si="58"/>
        <v>0</v>
      </c>
      <c r="J49" s="93">
        <f t="shared" si="59"/>
        <v>39</v>
      </c>
      <c r="K49" s="94">
        <v>6</v>
      </c>
      <c r="L49" s="95">
        <f t="shared" si="61"/>
        <v>234</v>
      </c>
      <c r="M49" s="96">
        <f t="shared" si="62"/>
        <v>75</v>
      </c>
      <c r="N49" s="97">
        <v>0.1</v>
      </c>
      <c r="O49" s="97">
        <f t="shared" si="64"/>
        <v>3.9000000000000004</v>
      </c>
      <c r="P49" s="95">
        <f t="shared" si="65"/>
        <v>292.5</v>
      </c>
      <c r="Q49" s="98">
        <f t="shared" si="66"/>
        <v>526.5</v>
      </c>
      <c r="R49" s="99"/>
    </row>
    <row r="50" spans="1:18" ht="41.4" x14ac:dyDescent="0.3">
      <c r="A50" s="86" t="str">
        <f>IF(TRIM(H50)&lt;&gt;"",COUNTA(H$9:$H50)&amp;"","")</f>
        <v>32</v>
      </c>
      <c r="B50" s="87" t="s">
        <v>250</v>
      </c>
      <c r="C50" s="87" t="s">
        <v>259</v>
      </c>
      <c r="D50" s="87"/>
      <c r="E50" s="100" t="s">
        <v>260</v>
      </c>
      <c r="F50" s="90">
        <v>39</v>
      </c>
      <c r="H50" s="91" t="s">
        <v>184</v>
      </c>
      <c r="I50" s="92">
        <f t="shared" si="58"/>
        <v>0</v>
      </c>
      <c r="J50" s="93">
        <f t="shared" si="59"/>
        <v>39</v>
      </c>
      <c r="K50" s="94">
        <v>3.3</v>
      </c>
      <c r="L50" s="95">
        <f t="shared" si="61"/>
        <v>128.69999999999999</v>
      </c>
      <c r="M50" s="96">
        <f t="shared" si="62"/>
        <v>75</v>
      </c>
      <c r="N50" s="97">
        <v>5.5000000000000007E-2</v>
      </c>
      <c r="O50" s="97">
        <f t="shared" si="64"/>
        <v>2.1450000000000005</v>
      </c>
      <c r="P50" s="95">
        <f t="shared" si="65"/>
        <v>160.87500000000003</v>
      </c>
      <c r="Q50" s="98">
        <f t="shared" si="66"/>
        <v>289.57500000000005</v>
      </c>
      <c r="R50" s="99"/>
    </row>
    <row r="51" spans="1:18" x14ac:dyDescent="0.3">
      <c r="A51" s="86" t="str">
        <f>IF(TRIM(H51)&lt;&gt;"",COUNTA(H$9:$H51)&amp;"","")</f>
        <v>33</v>
      </c>
      <c r="B51" s="87" t="s">
        <v>250</v>
      </c>
      <c r="C51" s="101"/>
      <c r="D51" s="87"/>
      <c r="E51" s="102" t="s">
        <v>264</v>
      </c>
      <c r="F51" s="157">
        <v>3.5</v>
      </c>
      <c r="G51" s="65">
        <f>20.5*0.5*5/27+14*0.5*6/27</f>
        <v>3.4537037037037037</v>
      </c>
      <c r="H51" s="91" t="s">
        <v>212</v>
      </c>
      <c r="I51" s="92">
        <f t="shared" si="58"/>
        <v>0</v>
      </c>
      <c r="J51" s="93">
        <f t="shared" si="59"/>
        <v>3.5</v>
      </c>
      <c r="K51" s="94">
        <v>245</v>
      </c>
      <c r="L51" s="95">
        <f t="shared" si="61"/>
        <v>857.5</v>
      </c>
      <c r="M51" s="96">
        <f t="shared" si="62"/>
        <v>75</v>
      </c>
      <c r="N51" s="97">
        <v>2.625</v>
      </c>
      <c r="O51" s="97">
        <f t="shared" si="64"/>
        <v>9.1875</v>
      </c>
      <c r="P51" s="95">
        <f t="shared" si="65"/>
        <v>689.0625</v>
      </c>
      <c r="Q51" s="98">
        <f t="shared" si="66"/>
        <v>1546.5625</v>
      </c>
      <c r="R51" s="99"/>
    </row>
    <row r="52" spans="1:18" x14ac:dyDescent="0.3">
      <c r="A52" s="86" t="str">
        <f>IF(TRIM(H52)&lt;&gt;"",COUNTA(H$9:$H52)&amp;"","")</f>
        <v>34</v>
      </c>
      <c r="B52" s="87" t="s">
        <v>511</v>
      </c>
      <c r="C52" s="87"/>
      <c r="D52" s="87"/>
      <c r="E52" s="100" t="s">
        <v>513</v>
      </c>
      <c r="F52" s="90">
        <v>145</v>
      </c>
      <c r="H52" s="91" t="s">
        <v>210</v>
      </c>
      <c r="I52" s="92">
        <f t="shared" ref="I52" si="74">IF(F52=0,"",0)</f>
        <v>0</v>
      </c>
      <c r="J52" s="93">
        <f t="shared" ref="J52" si="75">IF(F52=0,"",F52+(F52*I52))</f>
        <v>145</v>
      </c>
      <c r="K52" s="94">
        <v>2.7</v>
      </c>
      <c r="L52" s="95">
        <f t="shared" ref="L52" si="76">IF(F52=0,"",K52*J52)</f>
        <v>391.5</v>
      </c>
      <c r="M52" s="96">
        <f t="shared" ref="M52" si="77">IF(F52=0,"",M$7)</f>
        <v>75</v>
      </c>
      <c r="N52" s="97">
        <v>4.4999999999999998E-2</v>
      </c>
      <c r="O52" s="97">
        <f t="shared" ref="O52" si="78">IF(F52=0,"",N52*J52)</f>
        <v>6.5249999999999995</v>
      </c>
      <c r="P52" s="95">
        <f t="shared" ref="P52" si="79">IF(F52=0,"",O52*M52)</f>
        <v>489.37499999999994</v>
      </c>
      <c r="Q52" s="98">
        <f t="shared" ref="Q52" si="80">IF(F52=0,"",L52+P52)</f>
        <v>880.875</v>
      </c>
      <c r="R52" s="99"/>
    </row>
    <row r="53" spans="1:18" s="116" customFormat="1" ht="19.2" customHeight="1" x14ac:dyDescent="0.3">
      <c r="A53" s="86" t="str">
        <f>IF(TRIM(H53)&lt;&gt;"",COUNTA(H$9:$H53)&amp;"","")</f>
        <v/>
      </c>
      <c r="B53" s="115"/>
      <c r="C53" s="115"/>
      <c r="D53" s="88" t="s">
        <v>75</v>
      </c>
      <c r="E53" s="173" t="s">
        <v>74</v>
      </c>
      <c r="F53" s="90"/>
      <c r="H53" s="91"/>
      <c r="I53" s="92" t="str">
        <f t="shared" si="58"/>
        <v/>
      </c>
      <c r="J53" s="93" t="str">
        <f t="shared" si="59"/>
        <v/>
      </c>
      <c r="K53" s="94" t="s">
        <v>549</v>
      </c>
      <c r="L53" s="95" t="str">
        <f t="shared" si="61"/>
        <v/>
      </c>
      <c r="M53" s="96" t="str">
        <f t="shared" si="62"/>
        <v/>
      </c>
      <c r="N53" s="97" t="s">
        <v>549</v>
      </c>
      <c r="O53" s="97" t="str">
        <f t="shared" si="64"/>
        <v/>
      </c>
      <c r="P53" s="95" t="str">
        <f t="shared" si="65"/>
        <v/>
      </c>
      <c r="Q53" s="98" t="str">
        <f t="shared" si="66"/>
        <v/>
      </c>
      <c r="R53" s="99"/>
    </row>
    <row r="54" spans="1:18" x14ac:dyDescent="0.3">
      <c r="A54" s="86" t="str">
        <f>IF(TRIM(H54)&lt;&gt;"",COUNTA(H$9:$H54)&amp;"","")</f>
        <v>35</v>
      </c>
      <c r="B54" s="87"/>
      <c r="C54" s="87"/>
      <c r="D54" s="87"/>
      <c r="E54" s="100" t="s">
        <v>520</v>
      </c>
      <c r="F54" s="90">
        <v>1</v>
      </c>
      <c r="H54" s="91" t="s">
        <v>218</v>
      </c>
      <c r="I54" s="92">
        <f t="shared" si="58"/>
        <v>0</v>
      </c>
      <c r="J54" s="93">
        <f t="shared" si="59"/>
        <v>1</v>
      </c>
      <c r="K54" s="94">
        <v>180</v>
      </c>
      <c r="L54" s="95">
        <f t="shared" si="61"/>
        <v>180</v>
      </c>
      <c r="M54" s="96">
        <f t="shared" si="62"/>
        <v>75</v>
      </c>
      <c r="N54" s="97">
        <v>3</v>
      </c>
      <c r="O54" s="97">
        <f t="shared" si="64"/>
        <v>3</v>
      </c>
      <c r="P54" s="95">
        <f t="shared" si="65"/>
        <v>225</v>
      </c>
      <c r="Q54" s="98">
        <f t="shared" si="66"/>
        <v>405</v>
      </c>
      <c r="R54" s="99"/>
    </row>
    <row r="55" spans="1:18" ht="15" thickBot="1" x14ac:dyDescent="0.35">
      <c r="A55" s="86" t="str">
        <f>IF(TRIM(H55)&lt;&gt;"",COUNTA(H$9:$H55)&amp;"","")</f>
        <v/>
      </c>
      <c r="B55" s="101"/>
      <c r="C55" s="101"/>
      <c r="D55" s="88"/>
      <c r="E55" s="102"/>
      <c r="F55" s="90"/>
      <c r="H55" s="91"/>
      <c r="I55" s="92" t="str">
        <f t="shared" si="58"/>
        <v/>
      </c>
      <c r="J55" s="93" t="str">
        <f t="shared" si="59"/>
        <v/>
      </c>
      <c r="K55" s="94" t="str">
        <f t="shared" si="60"/>
        <v/>
      </c>
      <c r="L55" s="95" t="str">
        <f t="shared" si="61"/>
        <v/>
      </c>
      <c r="M55" s="96" t="str">
        <f t="shared" si="62"/>
        <v/>
      </c>
      <c r="N55" s="97" t="str">
        <f t="shared" si="63"/>
        <v/>
      </c>
      <c r="O55" s="97" t="str">
        <f t="shared" si="64"/>
        <v/>
      </c>
      <c r="P55" s="95" t="str">
        <f t="shared" si="65"/>
        <v/>
      </c>
      <c r="Q55" s="98" t="str">
        <f t="shared" si="66"/>
        <v/>
      </c>
      <c r="R55" s="99"/>
    </row>
    <row r="56" spans="1:18" s="114" customFormat="1" ht="16.2" thickBot="1" x14ac:dyDescent="0.35">
      <c r="A56" s="86" t="str">
        <f>IF(TRIM(H56)&lt;&gt;"",COUNTA(H$9:$H56)&amp;"","")</f>
        <v/>
      </c>
      <c r="B56" s="103"/>
      <c r="C56" s="103"/>
      <c r="D56" s="104"/>
      <c r="E56" s="105"/>
      <c r="F56" s="106"/>
      <c r="H56" s="107"/>
      <c r="I56" s="108" t="s">
        <v>12</v>
      </c>
      <c r="J56" s="109"/>
      <c r="K56" s="110">
        <f>SUM(L$42:L$55)</f>
        <v>20294.399999999998</v>
      </c>
      <c r="L56" s="190" t="s">
        <v>13</v>
      </c>
      <c r="M56" s="191"/>
      <c r="N56" s="111">
        <f>SUM(P$42:P$55)</f>
        <v>24908.625</v>
      </c>
      <c r="O56" s="190" t="s">
        <v>42</v>
      </c>
      <c r="P56" s="191"/>
      <c r="Q56" s="112">
        <f>SUM(O$42:O$55)</f>
        <v>332.11500000000001</v>
      </c>
      <c r="R56" s="113">
        <f>SUM(Q$42:Q$55)</f>
        <v>45203.024999999994</v>
      </c>
    </row>
    <row r="57" spans="1:18" s="171" customFormat="1" ht="20.100000000000001" customHeight="1" x14ac:dyDescent="0.3">
      <c r="A57" s="167" t="str">
        <f>IF(TRIM(H57)&lt;&gt;"",COUNTA(H$9:$H57)&amp;"","")</f>
        <v/>
      </c>
      <c r="B57" s="168"/>
      <c r="C57" s="168"/>
      <c r="D57" s="169">
        <v>40000</v>
      </c>
      <c r="E57" s="169" t="s">
        <v>155</v>
      </c>
      <c r="F57" s="170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72"/>
    </row>
    <row r="58" spans="1:18" s="116" customFormat="1" ht="19.2" customHeight="1" x14ac:dyDescent="0.3">
      <c r="A58" s="86" t="str">
        <f>IF(TRIM(H58)&lt;&gt;"",COUNTA(H$9:$H58)&amp;"","")</f>
        <v/>
      </c>
      <c r="B58" s="115"/>
      <c r="C58" s="115"/>
      <c r="D58" s="88" t="s">
        <v>77</v>
      </c>
      <c r="E58" s="173" t="s">
        <v>76</v>
      </c>
      <c r="F58" s="90"/>
      <c r="H58" s="91"/>
      <c r="I58" s="92" t="str">
        <f t="shared" ref="I58:I60" si="81">IF(F58=0,"",0)</f>
        <v/>
      </c>
      <c r="J58" s="93" t="str">
        <f t="shared" ref="J58:J60" si="82">IF(F58=0,"",F58+(F58*I58))</f>
        <v/>
      </c>
      <c r="K58" s="94" t="str">
        <f t="shared" ref="K58:K60" si="83">IF(F58=0,"",0)</f>
        <v/>
      </c>
      <c r="L58" s="95" t="str">
        <f t="shared" ref="L58:L60" si="84">IF(F58=0,"",K58*J58)</f>
        <v/>
      </c>
      <c r="M58" s="96" t="str">
        <f t="shared" ref="M58:M60" si="85">IF(F58=0,"",M$7)</f>
        <v/>
      </c>
      <c r="N58" s="97" t="str">
        <f t="shared" ref="N58:N60" si="86">IF(F58=0,"",0)</f>
        <v/>
      </c>
      <c r="O58" s="97" t="str">
        <f t="shared" ref="O58:O60" si="87">IF(F58=0,"",N58*J58)</f>
        <v/>
      </c>
      <c r="P58" s="95" t="str">
        <f t="shared" ref="P58:P60" si="88">IF(F58=0,"",O58*M58)</f>
        <v/>
      </c>
      <c r="Q58" s="98" t="str">
        <f t="shared" ref="Q58:Q60" si="89">IF(F58=0,"",L58+P58)</f>
        <v/>
      </c>
      <c r="R58" s="99"/>
    </row>
    <row r="59" spans="1:18" x14ac:dyDescent="0.3">
      <c r="A59" s="86" t="str">
        <f>IF(TRIM(H59)&lt;&gt;"",COUNTA(H$9:$H59)&amp;"","")</f>
        <v>36</v>
      </c>
      <c r="B59" s="87" t="s">
        <v>297</v>
      </c>
      <c r="C59" s="87"/>
      <c r="D59" s="87"/>
      <c r="E59" s="100" t="s">
        <v>296</v>
      </c>
      <c r="F59" s="90">
        <v>115</v>
      </c>
      <c r="G59" s="65">
        <f>5*8+72</f>
        <v>112</v>
      </c>
      <c r="H59" s="91" t="s">
        <v>184</v>
      </c>
      <c r="I59" s="92">
        <f t="shared" si="81"/>
        <v>0</v>
      </c>
      <c r="J59" s="93">
        <f t="shared" si="82"/>
        <v>115</v>
      </c>
      <c r="K59" s="94">
        <v>25.200000000000003</v>
      </c>
      <c r="L59" s="95">
        <f t="shared" si="84"/>
        <v>2898.0000000000005</v>
      </c>
      <c r="M59" s="96">
        <f t="shared" si="85"/>
        <v>75</v>
      </c>
      <c r="N59" s="97">
        <v>0.26999999999999996</v>
      </c>
      <c r="O59" s="97">
        <f t="shared" si="87"/>
        <v>31.049999999999997</v>
      </c>
      <c r="P59" s="95">
        <f t="shared" si="88"/>
        <v>2328.75</v>
      </c>
      <c r="Q59" s="98">
        <f t="shared" si="89"/>
        <v>5226.75</v>
      </c>
      <c r="R59" s="99"/>
    </row>
    <row r="60" spans="1:18" ht="15" thickBot="1" x14ac:dyDescent="0.35">
      <c r="A60" s="86" t="str">
        <f>IF(TRIM(H60)&lt;&gt;"",COUNTA(H$9:$H60)&amp;"","")</f>
        <v/>
      </c>
      <c r="B60" s="101"/>
      <c r="C60" s="101"/>
      <c r="D60" s="88"/>
      <c r="E60" s="102"/>
      <c r="F60" s="90"/>
      <c r="H60" s="91"/>
      <c r="I60" s="92" t="str">
        <f t="shared" si="81"/>
        <v/>
      </c>
      <c r="J60" s="93" t="str">
        <f t="shared" si="82"/>
        <v/>
      </c>
      <c r="K60" s="94" t="str">
        <f t="shared" si="83"/>
        <v/>
      </c>
      <c r="L60" s="95" t="str">
        <f t="shared" si="84"/>
        <v/>
      </c>
      <c r="M60" s="96" t="str">
        <f t="shared" si="85"/>
        <v/>
      </c>
      <c r="N60" s="97" t="str">
        <f t="shared" si="86"/>
        <v/>
      </c>
      <c r="O60" s="97" t="str">
        <f t="shared" si="87"/>
        <v/>
      </c>
      <c r="P60" s="95" t="str">
        <f t="shared" si="88"/>
        <v/>
      </c>
      <c r="Q60" s="98" t="str">
        <f t="shared" si="89"/>
        <v/>
      </c>
      <c r="R60" s="99"/>
    </row>
    <row r="61" spans="1:18" s="114" customFormat="1" ht="16.2" thickBot="1" x14ac:dyDescent="0.35">
      <c r="A61" s="86" t="str">
        <f>IF(TRIM(H61)&lt;&gt;"",COUNTA(H$9:$H61)&amp;"","")</f>
        <v/>
      </c>
      <c r="B61" s="103"/>
      <c r="C61" s="103"/>
      <c r="D61" s="104"/>
      <c r="E61" s="105"/>
      <c r="F61" s="106"/>
      <c r="H61" s="107"/>
      <c r="I61" s="108" t="s">
        <v>12</v>
      </c>
      <c r="J61" s="109"/>
      <c r="K61" s="110">
        <f>SUM(L$57:L$60)</f>
        <v>2898.0000000000005</v>
      </c>
      <c r="L61" s="190" t="s">
        <v>13</v>
      </c>
      <c r="M61" s="191"/>
      <c r="N61" s="111">
        <f>SUM(P$57:P$60)</f>
        <v>2328.75</v>
      </c>
      <c r="O61" s="190" t="s">
        <v>42</v>
      </c>
      <c r="P61" s="191"/>
      <c r="Q61" s="112">
        <f>SUM(O$57:O$60)</f>
        <v>31.049999999999997</v>
      </c>
      <c r="R61" s="113">
        <f>SUM(Q$57:Q$60)</f>
        <v>5226.75</v>
      </c>
    </row>
    <row r="62" spans="1:18" s="171" customFormat="1" ht="20.100000000000001" customHeight="1" x14ac:dyDescent="0.3">
      <c r="A62" s="167" t="str">
        <f>IF(TRIM(H62)&lt;&gt;"",COUNTA(H$9:$H62)&amp;"","")</f>
        <v/>
      </c>
      <c r="B62" s="168"/>
      <c r="C62" s="168"/>
      <c r="D62" s="169">
        <v>50000</v>
      </c>
      <c r="E62" s="169" t="s">
        <v>78</v>
      </c>
      <c r="F62" s="170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72"/>
    </row>
    <row r="63" spans="1:18" s="116" customFormat="1" ht="19.2" customHeight="1" x14ac:dyDescent="0.3">
      <c r="A63" s="86" t="str">
        <f>IF(TRIM(H63)&lt;&gt;"",COUNTA(H$9:$H63)&amp;"","")</f>
        <v/>
      </c>
      <c r="B63" s="115"/>
      <c r="C63" s="115"/>
      <c r="D63" s="88" t="s">
        <v>80</v>
      </c>
      <c r="E63" s="164" t="s">
        <v>79</v>
      </c>
      <c r="F63" s="90"/>
      <c r="H63" s="91"/>
      <c r="I63" s="92" t="str">
        <f t="shared" ref="I63:I103" si="90">IF(F63=0,"",0)</f>
        <v/>
      </c>
      <c r="J63" s="93" t="str">
        <f t="shared" ref="J63:J103" si="91">IF(F63=0,"",F63+(F63*I63))</f>
        <v/>
      </c>
      <c r="K63" s="94" t="str">
        <f t="shared" ref="K63:K103" si="92">IF(F63=0,"",0)</f>
        <v/>
      </c>
      <c r="L63" s="95" t="str">
        <f t="shared" ref="L63:L103" si="93">IF(F63=0,"",K63*J63)</f>
        <v/>
      </c>
      <c r="M63" s="96" t="str">
        <f t="shared" ref="M63:M103" si="94">IF(F63=0,"",M$7)</f>
        <v/>
      </c>
      <c r="N63" s="97" t="str">
        <f t="shared" ref="N63:N103" si="95">IF(F63=0,"",0)</f>
        <v/>
      </c>
      <c r="O63" s="97" t="str">
        <f t="shared" ref="O63:O103" si="96">IF(F63=0,"",N63*J63)</f>
        <v/>
      </c>
      <c r="P63" s="95" t="str">
        <f t="shared" ref="P63:P103" si="97">IF(F63=0,"",O63*M63)</f>
        <v/>
      </c>
      <c r="Q63" s="98" t="str">
        <f t="shared" ref="Q63:Q103" si="98">IF(F63=0,"",L63+P63)</f>
        <v/>
      </c>
      <c r="R63" s="99"/>
    </row>
    <row r="64" spans="1:18" x14ac:dyDescent="0.3">
      <c r="A64" s="86" t="str">
        <f>IF(TRIM(H64)&lt;&gt;"",COUNTA(H$9:$H64)&amp;"","")</f>
        <v>37</v>
      </c>
      <c r="B64" s="241" t="s">
        <v>298</v>
      </c>
      <c r="C64" s="241" t="s">
        <v>299</v>
      </c>
      <c r="D64" s="241"/>
      <c r="E64" s="89" t="s">
        <v>973</v>
      </c>
      <c r="F64" s="244">
        <v>11.8</v>
      </c>
      <c r="G64" s="65">
        <f>23.34*34</f>
        <v>793.56</v>
      </c>
      <c r="H64" s="247" t="s">
        <v>976</v>
      </c>
      <c r="I64" s="250">
        <f t="shared" ref="I64" si="99">IF(F64=0,"",0)</f>
        <v>0</v>
      </c>
      <c r="J64" s="253">
        <f t="shared" ref="J64" si="100">IF(F64=0,"",F64+(F64*I64))</f>
        <v>11.8</v>
      </c>
      <c r="K64" s="256">
        <v>5500</v>
      </c>
      <c r="L64" s="192">
        <f t="shared" ref="L64" si="101">IF(F64=0,"",K64*J64)</f>
        <v>64900.000000000007</v>
      </c>
      <c r="M64" s="192">
        <f t="shared" ref="M64" si="102">IF(F64=0,"",M$7)</f>
        <v>75</v>
      </c>
      <c r="N64" s="195">
        <v>90</v>
      </c>
      <c r="O64" s="195">
        <f t="shared" ref="O64" si="103">IF(F64=0,"",N64*J64)</f>
        <v>1062</v>
      </c>
      <c r="P64" s="192">
        <f t="shared" ref="P64" si="104">IF(F64=0,"",O64*M64)</f>
        <v>79650</v>
      </c>
      <c r="Q64" s="192">
        <f t="shared" ref="Q64" si="105">IF(F64=0,"",L64+P64)</f>
        <v>144550</v>
      </c>
      <c r="R64" s="99"/>
    </row>
    <row r="65" spans="1:18" x14ac:dyDescent="0.3">
      <c r="A65" s="86" t="str">
        <f>IF(TRIM(H65)&lt;&gt;"",COUNTA(H$9:$H65)&amp;"","")</f>
        <v/>
      </c>
      <c r="B65" s="242"/>
      <c r="C65" s="242"/>
      <c r="D65" s="242"/>
      <c r="E65" s="89" t="s">
        <v>265</v>
      </c>
      <c r="F65" s="245"/>
      <c r="G65" s="65">
        <f>37.69*33</f>
        <v>1243.77</v>
      </c>
      <c r="H65" s="248"/>
      <c r="I65" s="251"/>
      <c r="J65" s="254"/>
      <c r="K65" s="257"/>
      <c r="L65" s="193"/>
      <c r="M65" s="193"/>
      <c r="N65" s="196"/>
      <c r="O65" s="196"/>
      <c r="P65" s="193"/>
      <c r="Q65" s="193"/>
      <c r="R65" s="99"/>
    </row>
    <row r="66" spans="1:18" x14ac:dyDescent="0.3">
      <c r="A66" s="86" t="str">
        <f>IF(TRIM(H66)&lt;&gt;"",COUNTA(H$9:$H66)&amp;"","")</f>
        <v/>
      </c>
      <c r="B66" s="242"/>
      <c r="C66" s="242"/>
      <c r="D66" s="242"/>
      <c r="E66" s="89" t="s">
        <v>266</v>
      </c>
      <c r="F66" s="245"/>
      <c r="G66" s="65">
        <f>32.58*20</f>
        <v>651.59999999999991</v>
      </c>
      <c r="H66" s="248"/>
      <c r="I66" s="251"/>
      <c r="J66" s="254"/>
      <c r="K66" s="257"/>
      <c r="L66" s="193"/>
      <c r="M66" s="193"/>
      <c r="N66" s="196"/>
      <c r="O66" s="196"/>
      <c r="P66" s="193"/>
      <c r="Q66" s="193"/>
      <c r="R66" s="99"/>
    </row>
    <row r="67" spans="1:18" x14ac:dyDescent="0.3">
      <c r="A67" s="86" t="str">
        <f>IF(TRIM(H67)&lt;&gt;"",COUNTA(H$9:$H67)&amp;"","")</f>
        <v/>
      </c>
      <c r="B67" s="242"/>
      <c r="C67" s="242"/>
      <c r="D67" s="242"/>
      <c r="E67" s="89" t="s">
        <v>267</v>
      </c>
      <c r="F67" s="245"/>
      <c r="G67" s="65">
        <f>27.48*74</f>
        <v>2033.52</v>
      </c>
      <c r="H67" s="248"/>
      <c r="I67" s="251"/>
      <c r="J67" s="254"/>
      <c r="K67" s="257"/>
      <c r="L67" s="193"/>
      <c r="M67" s="193"/>
      <c r="N67" s="196"/>
      <c r="O67" s="196"/>
      <c r="P67" s="193"/>
      <c r="Q67" s="193"/>
      <c r="R67" s="99"/>
    </row>
    <row r="68" spans="1:18" x14ac:dyDescent="0.3">
      <c r="A68" s="86" t="str">
        <f>IF(TRIM(H68)&lt;&gt;"",COUNTA(H$9:$H68)&amp;"","")</f>
        <v/>
      </c>
      <c r="B68" s="242"/>
      <c r="C68" s="242"/>
      <c r="D68" s="242"/>
      <c r="E68" s="89" t="s">
        <v>268</v>
      </c>
      <c r="F68" s="245"/>
      <c r="G68" s="65">
        <f>55.66*74</f>
        <v>4118.84</v>
      </c>
      <c r="H68" s="248"/>
      <c r="I68" s="251"/>
      <c r="J68" s="254"/>
      <c r="K68" s="257"/>
      <c r="L68" s="193"/>
      <c r="M68" s="193"/>
      <c r="N68" s="196"/>
      <c r="O68" s="196"/>
      <c r="P68" s="193"/>
      <c r="Q68" s="193"/>
      <c r="R68" s="99"/>
    </row>
    <row r="69" spans="1:18" x14ac:dyDescent="0.3">
      <c r="A69" s="86" t="str">
        <f>IF(TRIM(H69)&lt;&gt;"",COUNTA(H$9:$H69)&amp;"","")</f>
        <v/>
      </c>
      <c r="B69" s="242"/>
      <c r="C69" s="242"/>
      <c r="D69" s="242"/>
      <c r="E69" s="89" t="s">
        <v>269</v>
      </c>
      <c r="F69" s="245"/>
      <c r="G69" s="65">
        <f>17.27*5</f>
        <v>86.35</v>
      </c>
      <c r="H69" s="248"/>
      <c r="I69" s="251"/>
      <c r="J69" s="254"/>
      <c r="K69" s="257"/>
      <c r="L69" s="193"/>
      <c r="M69" s="193"/>
      <c r="N69" s="196"/>
      <c r="O69" s="196"/>
      <c r="P69" s="193"/>
      <c r="Q69" s="193"/>
      <c r="R69" s="99"/>
    </row>
    <row r="70" spans="1:18" x14ac:dyDescent="0.3">
      <c r="A70" s="86" t="str">
        <f>IF(TRIM(H70)&lt;&gt;"",COUNTA(H$9:$H70)&amp;"","")</f>
        <v/>
      </c>
      <c r="B70" s="242"/>
      <c r="C70" s="242"/>
      <c r="D70" s="242"/>
      <c r="E70" s="89" t="s">
        <v>270</v>
      </c>
      <c r="F70" s="245"/>
      <c r="G70" s="65">
        <f>11.64*4</f>
        <v>46.56</v>
      </c>
      <c r="H70" s="248"/>
      <c r="I70" s="251"/>
      <c r="J70" s="254"/>
      <c r="K70" s="257"/>
      <c r="L70" s="193"/>
      <c r="M70" s="193"/>
      <c r="N70" s="196"/>
      <c r="O70" s="196"/>
      <c r="P70" s="193"/>
      <c r="Q70" s="193"/>
      <c r="R70" s="99"/>
    </row>
    <row r="71" spans="1:18" x14ac:dyDescent="0.3">
      <c r="A71" s="86" t="str">
        <f>IF(TRIM(H71)&lt;&gt;"",COUNTA(H$9:$H71)&amp;"","")</f>
        <v/>
      </c>
      <c r="B71" s="242"/>
      <c r="C71" s="242"/>
      <c r="D71" s="242"/>
      <c r="E71" s="89" t="s">
        <v>278</v>
      </c>
      <c r="F71" s="245"/>
      <c r="G71" s="65">
        <f>4.1*2</f>
        <v>8.1999999999999993</v>
      </c>
      <c r="H71" s="248"/>
      <c r="I71" s="251"/>
      <c r="J71" s="254"/>
      <c r="K71" s="257"/>
      <c r="L71" s="193"/>
      <c r="M71" s="193"/>
      <c r="N71" s="196"/>
      <c r="O71" s="196"/>
      <c r="P71" s="193"/>
      <c r="Q71" s="193"/>
      <c r="R71" s="99"/>
    </row>
    <row r="72" spans="1:18" x14ac:dyDescent="0.3">
      <c r="A72" s="86" t="str">
        <f>IF(TRIM(H72)&lt;&gt;"",COUNTA(H$9:$H72)&amp;"","")</f>
        <v/>
      </c>
      <c r="B72" s="242"/>
      <c r="C72" s="242"/>
      <c r="D72" s="242"/>
      <c r="E72" s="89" t="s">
        <v>288</v>
      </c>
      <c r="F72" s="245"/>
      <c r="G72" s="65">
        <f>7.2*102</f>
        <v>734.4</v>
      </c>
      <c r="H72" s="248"/>
      <c r="I72" s="251"/>
      <c r="J72" s="254"/>
      <c r="K72" s="257"/>
      <c r="L72" s="193"/>
      <c r="M72" s="193"/>
      <c r="N72" s="196"/>
      <c r="O72" s="196"/>
      <c r="P72" s="193"/>
      <c r="Q72" s="193"/>
      <c r="R72" s="99"/>
    </row>
    <row r="73" spans="1:18" x14ac:dyDescent="0.3">
      <c r="A73" s="86" t="str">
        <f>IF(TRIM(H73)&lt;&gt;"",COUNTA(H$9:$H73)&amp;"","")</f>
        <v/>
      </c>
      <c r="B73" s="242"/>
      <c r="C73" s="242"/>
      <c r="D73" s="242"/>
      <c r="E73" s="89" t="s">
        <v>974</v>
      </c>
      <c r="F73" s="245"/>
      <c r="G73" s="65">
        <f>4.9*23</f>
        <v>112.7</v>
      </c>
      <c r="H73" s="248"/>
      <c r="I73" s="251"/>
      <c r="J73" s="254"/>
      <c r="K73" s="257"/>
      <c r="L73" s="193"/>
      <c r="M73" s="193"/>
      <c r="N73" s="196"/>
      <c r="O73" s="196"/>
      <c r="P73" s="193"/>
      <c r="Q73" s="193"/>
      <c r="R73" s="99"/>
    </row>
    <row r="74" spans="1:18" x14ac:dyDescent="0.3">
      <c r="A74" s="86" t="str">
        <f>IF(TRIM(H74)&lt;&gt;"",COUNTA(H$9:$H74)&amp;"","")</f>
        <v/>
      </c>
      <c r="B74" s="242"/>
      <c r="C74" s="242"/>
      <c r="D74" s="242"/>
      <c r="E74" s="89" t="s">
        <v>271</v>
      </c>
      <c r="F74" s="245"/>
      <c r="G74" s="65">
        <f>14.9*25</f>
        <v>372.5</v>
      </c>
      <c r="H74" s="248"/>
      <c r="I74" s="251"/>
      <c r="J74" s="254"/>
      <c r="K74" s="257"/>
      <c r="L74" s="193"/>
      <c r="M74" s="193"/>
      <c r="N74" s="196"/>
      <c r="O74" s="196"/>
      <c r="P74" s="193"/>
      <c r="Q74" s="193"/>
      <c r="R74" s="99"/>
    </row>
    <row r="75" spans="1:18" x14ac:dyDescent="0.3">
      <c r="A75" s="86" t="str">
        <f>IF(TRIM(H75)&lt;&gt;"",COUNTA(H$9:$H75)&amp;"","")</f>
        <v/>
      </c>
      <c r="B75" s="242"/>
      <c r="C75" s="242"/>
      <c r="D75" s="242"/>
      <c r="E75" s="89" t="s">
        <v>272</v>
      </c>
      <c r="F75" s="245"/>
      <c r="G75" s="65">
        <f>19.6*1.25</f>
        <v>24.5</v>
      </c>
      <c r="H75" s="248"/>
      <c r="I75" s="251"/>
      <c r="J75" s="254"/>
      <c r="K75" s="257"/>
      <c r="L75" s="193"/>
      <c r="M75" s="193"/>
      <c r="N75" s="196"/>
      <c r="O75" s="196"/>
      <c r="P75" s="193"/>
      <c r="Q75" s="193"/>
      <c r="R75" s="99"/>
    </row>
    <row r="76" spans="1:18" x14ac:dyDescent="0.3">
      <c r="A76" s="86" t="str">
        <f>IF(TRIM(H76)&lt;&gt;"",COUNTA(H$9:$H76)&amp;"","")</f>
        <v/>
      </c>
      <c r="B76" s="242"/>
      <c r="C76" s="242"/>
      <c r="D76" s="242"/>
      <c r="E76" s="89" t="s">
        <v>273</v>
      </c>
      <c r="F76" s="245"/>
      <c r="G76" s="65">
        <f>11.7*125</f>
        <v>1462.5</v>
      </c>
      <c r="H76" s="248"/>
      <c r="I76" s="251"/>
      <c r="J76" s="254"/>
      <c r="K76" s="257"/>
      <c r="L76" s="193"/>
      <c r="M76" s="193"/>
      <c r="N76" s="196"/>
      <c r="O76" s="196"/>
      <c r="P76" s="193"/>
      <c r="Q76" s="193"/>
      <c r="R76" s="99"/>
    </row>
    <row r="77" spans="1:18" x14ac:dyDescent="0.3">
      <c r="A77" s="86" t="str">
        <f>IF(TRIM(H77)&lt;&gt;"",COUNTA(H$9:$H77)&amp;"","")</f>
        <v/>
      </c>
      <c r="B77" s="242"/>
      <c r="C77" s="242"/>
      <c r="D77" s="242"/>
      <c r="E77" s="89" t="s">
        <v>277</v>
      </c>
      <c r="F77" s="245"/>
      <c r="G77" s="65">
        <f>9.8*125</f>
        <v>1225</v>
      </c>
      <c r="H77" s="248"/>
      <c r="I77" s="251"/>
      <c r="J77" s="254"/>
      <c r="K77" s="257"/>
      <c r="L77" s="193"/>
      <c r="M77" s="193"/>
      <c r="N77" s="196"/>
      <c r="O77" s="196"/>
      <c r="P77" s="193"/>
      <c r="Q77" s="193"/>
      <c r="R77" s="99"/>
    </row>
    <row r="78" spans="1:18" x14ac:dyDescent="0.3">
      <c r="A78" s="86" t="str">
        <f>IF(TRIM(H78)&lt;&gt;"",COUNTA(H$9:$H78)&amp;"","")</f>
        <v/>
      </c>
      <c r="B78" s="242"/>
      <c r="C78" s="242"/>
      <c r="D78" s="242"/>
      <c r="E78" s="89" t="s">
        <v>274</v>
      </c>
      <c r="F78" s="245"/>
      <c r="G78" s="65">
        <f>8.5*8</f>
        <v>68</v>
      </c>
      <c r="H78" s="248"/>
      <c r="I78" s="251"/>
      <c r="J78" s="254"/>
      <c r="K78" s="257"/>
      <c r="L78" s="193"/>
      <c r="M78" s="193"/>
      <c r="N78" s="196"/>
      <c r="O78" s="196"/>
      <c r="P78" s="193"/>
      <c r="Q78" s="193"/>
      <c r="R78" s="99"/>
    </row>
    <row r="79" spans="1:18" x14ac:dyDescent="0.3">
      <c r="A79" s="86" t="str">
        <f>IF(TRIM(H79)&lt;&gt;"",COUNTA(H$9:$H79)&amp;"","")</f>
        <v/>
      </c>
      <c r="B79" s="242"/>
      <c r="C79" s="242"/>
      <c r="D79" s="242"/>
      <c r="E79" s="89" t="s">
        <v>275</v>
      </c>
      <c r="F79" s="245"/>
      <c r="G79" s="65">
        <f>2.39*30</f>
        <v>71.7</v>
      </c>
      <c r="H79" s="248"/>
      <c r="I79" s="251"/>
      <c r="J79" s="254"/>
      <c r="K79" s="257"/>
      <c r="L79" s="193"/>
      <c r="M79" s="193"/>
      <c r="N79" s="196"/>
      <c r="O79" s="196"/>
      <c r="P79" s="193"/>
      <c r="Q79" s="193"/>
      <c r="R79" s="99"/>
    </row>
    <row r="80" spans="1:18" x14ac:dyDescent="0.3">
      <c r="A80" s="86" t="str">
        <f>IF(TRIM(H80)&lt;&gt;"",COUNTA(H$9:$H80)&amp;"","")</f>
        <v/>
      </c>
      <c r="B80" s="242"/>
      <c r="C80" s="242"/>
      <c r="D80" s="242"/>
      <c r="E80" s="89" t="s">
        <v>276</v>
      </c>
      <c r="F80" s="245"/>
      <c r="G80" s="65">
        <f>16.2*10</f>
        <v>162</v>
      </c>
      <c r="H80" s="248"/>
      <c r="I80" s="251"/>
      <c r="J80" s="254"/>
      <c r="K80" s="257"/>
      <c r="L80" s="193"/>
      <c r="M80" s="193"/>
      <c r="N80" s="196"/>
      <c r="O80" s="196"/>
      <c r="P80" s="193"/>
      <c r="Q80" s="193"/>
      <c r="R80" s="99"/>
    </row>
    <row r="81" spans="1:18" x14ac:dyDescent="0.3">
      <c r="A81" s="86" t="str">
        <f>IF(TRIM(H81)&lt;&gt;"",COUNTA(H$9:$H81)&amp;"","")</f>
        <v/>
      </c>
      <c r="B81" s="242"/>
      <c r="C81" s="242"/>
      <c r="D81" s="242"/>
      <c r="E81" s="89" t="s">
        <v>279</v>
      </c>
      <c r="F81" s="245"/>
      <c r="G81" s="65">
        <f>14.18*3</f>
        <v>42.54</v>
      </c>
      <c r="H81" s="248"/>
      <c r="I81" s="251"/>
      <c r="J81" s="254"/>
      <c r="K81" s="257"/>
      <c r="L81" s="193"/>
      <c r="M81" s="193"/>
      <c r="N81" s="196"/>
      <c r="O81" s="196"/>
      <c r="P81" s="193"/>
      <c r="Q81" s="193"/>
      <c r="R81" s="99"/>
    </row>
    <row r="82" spans="1:18" x14ac:dyDescent="0.3">
      <c r="A82" s="86" t="str">
        <f>IF(TRIM(H82)&lt;&gt;"",COUNTA(H$9:$H82)&amp;"","")</f>
        <v/>
      </c>
      <c r="B82" s="242"/>
      <c r="C82" s="242"/>
      <c r="D82" s="242"/>
      <c r="E82" s="65" t="s">
        <v>280</v>
      </c>
      <c r="F82" s="245"/>
      <c r="G82" s="65">
        <f>17.2287</f>
        <v>17.2287</v>
      </c>
      <c r="H82" s="248"/>
      <c r="I82" s="251"/>
      <c r="J82" s="254"/>
      <c r="K82" s="257"/>
      <c r="L82" s="193"/>
      <c r="M82" s="193"/>
      <c r="N82" s="196"/>
      <c r="O82" s="196"/>
      <c r="P82" s="193"/>
      <c r="Q82" s="193"/>
      <c r="R82" s="99"/>
    </row>
    <row r="83" spans="1:18" x14ac:dyDescent="0.3">
      <c r="A83" s="86" t="str">
        <f>IF(TRIM(H83)&lt;&gt;"",COUNTA(H$9:$H83)&amp;"","")</f>
        <v/>
      </c>
      <c r="B83" s="242"/>
      <c r="C83" s="242"/>
      <c r="D83" s="242"/>
      <c r="E83" s="89" t="s">
        <v>281</v>
      </c>
      <c r="F83" s="245"/>
      <c r="G83" s="65">
        <f>13.6128</f>
        <v>13.6128</v>
      </c>
      <c r="H83" s="248"/>
      <c r="I83" s="251"/>
      <c r="J83" s="254"/>
      <c r="K83" s="257"/>
      <c r="L83" s="193"/>
      <c r="M83" s="193"/>
      <c r="N83" s="196"/>
      <c r="O83" s="196"/>
      <c r="P83" s="193"/>
      <c r="Q83" s="193"/>
      <c r="R83" s="99"/>
    </row>
    <row r="84" spans="1:18" x14ac:dyDescent="0.3">
      <c r="A84" s="86" t="str">
        <f>IF(TRIM(H84)&lt;&gt;"",COUNTA(H$9:$H84)&amp;"","")</f>
        <v/>
      </c>
      <c r="B84" s="242"/>
      <c r="C84" s="242"/>
      <c r="D84" s="242"/>
      <c r="E84" s="89" t="s">
        <v>282</v>
      </c>
      <c r="F84" s="245"/>
      <c r="G84" s="65">
        <f>2*20.4192</f>
        <v>40.8384</v>
      </c>
      <c r="H84" s="248"/>
      <c r="I84" s="251"/>
      <c r="J84" s="254"/>
      <c r="K84" s="257"/>
      <c r="L84" s="193"/>
      <c r="M84" s="193"/>
      <c r="N84" s="196"/>
      <c r="O84" s="196"/>
      <c r="P84" s="193"/>
      <c r="Q84" s="193"/>
      <c r="R84" s="99"/>
    </row>
    <row r="85" spans="1:18" x14ac:dyDescent="0.3">
      <c r="A85" s="86" t="str">
        <f>IF(TRIM(H85)&lt;&gt;"",COUNTA(H$9:$H85)&amp;"","")</f>
        <v/>
      </c>
      <c r="B85" s="242"/>
      <c r="C85" s="242"/>
      <c r="D85" s="242"/>
      <c r="E85" s="89" t="s">
        <v>283</v>
      </c>
      <c r="F85" s="245"/>
      <c r="G85" s="65">
        <f>5.1048*2</f>
        <v>10.2096</v>
      </c>
      <c r="H85" s="248"/>
      <c r="I85" s="251"/>
      <c r="J85" s="254"/>
      <c r="K85" s="257"/>
      <c r="L85" s="193"/>
      <c r="M85" s="193"/>
      <c r="N85" s="196"/>
      <c r="O85" s="196"/>
      <c r="P85" s="193"/>
      <c r="Q85" s="193"/>
      <c r="R85" s="99"/>
    </row>
    <row r="86" spans="1:18" x14ac:dyDescent="0.3">
      <c r="A86" s="86" t="str">
        <f>IF(TRIM(H86)&lt;&gt;"",COUNTA(H$9:$H86)&amp;"","")</f>
        <v/>
      </c>
      <c r="B86" s="242"/>
      <c r="C86" s="242"/>
      <c r="D86" s="242"/>
      <c r="E86" s="89" t="s">
        <v>284</v>
      </c>
      <c r="F86" s="245"/>
      <c r="G86" s="65">
        <f>2*11.344</f>
        <v>22.687999999999999</v>
      </c>
      <c r="H86" s="248"/>
      <c r="I86" s="251"/>
      <c r="J86" s="254"/>
      <c r="K86" s="257"/>
      <c r="L86" s="193"/>
      <c r="M86" s="193"/>
      <c r="N86" s="196"/>
      <c r="O86" s="196"/>
      <c r="P86" s="193"/>
      <c r="Q86" s="193"/>
      <c r="R86" s="99"/>
    </row>
    <row r="87" spans="1:18" x14ac:dyDescent="0.3">
      <c r="A87" s="86" t="str">
        <f>IF(TRIM(H87)&lt;&gt;"",COUNTA(H$9:$H87)&amp;"","")</f>
        <v/>
      </c>
      <c r="B87" s="242"/>
      <c r="C87" s="242"/>
      <c r="D87" s="242"/>
      <c r="E87" s="89" t="s">
        <v>285</v>
      </c>
      <c r="F87" s="245"/>
      <c r="G87" s="65">
        <f>3.1905*2</f>
        <v>6.3810000000000002</v>
      </c>
      <c r="H87" s="248"/>
      <c r="I87" s="251"/>
      <c r="J87" s="254"/>
      <c r="K87" s="257"/>
      <c r="L87" s="193"/>
      <c r="M87" s="193"/>
      <c r="N87" s="196"/>
      <c r="O87" s="196"/>
      <c r="P87" s="193"/>
      <c r="Q87" s="193"/>
      <c r="R87" s="99"/>
    </row>
    <row r="88" spans="1:18" x14ac:dyDescent="0.3">
      <c r="A88" s="86" t="str">
        <f>IF(TRIM(H88)&lt;&gt;"",COUNTA(H$9:$H88)&amp;"","")</f>
        <v/>
      </c>
      <c r="B88" s="242"/>
      <c r="C88" s="242"/>
      <c r="D88" s="242"/>
      <c r="E88" s="100" t="s">
        <v>287</v>
      </c>
      <c r="F88" s="245"/>
      <c r="G88" s="65">
        <f>15*4</f>
        <v>60</v>
      </c>
      <c r="H88" s="248"/>
      <c r="I88" s="251"/>
      <c r="J88" s="254"/>
      <c r="K88" s="257"/>
      <c r="L88" s="193"/>
      <c r="M88" s="193"/>
      <c r="N88" s="196"/>
      <c r="O88" s="196"/>
      <c r="P88" s="193"/>
      <c r="Q88" s="193"/>
      <c r="R88" s="99"/>
    </row>
    <row r="89" spans="1:18" x14ac:dyDescent="0.3">
      <c r="A89" s="86" t="str">
        <f>IF(TRIM(H89)&lt;&gt;"",COUNTA(H$9:$H89)&amp;"","")</f>
        <v/>
      </c>
      <c r="B89" s="242"/>
      <c r="C89" s="242"/>
      <c r="D89" s="242"/>
      <c r="E89" s="89" t="s">
        <v>286</v>
      </c>
      <c r="F89" s="245"/>
      <c r="G89" s="65">
        <f>25*18</f>
        <v>450</v>
      </c>
      <c r="H89" s="248"/>
      <c r="I89" s="251"/>
      <c r="J89" s="254"/>
      <c r="K89" s="257"/>
      <c r="L89" s="193"/>
      <c r="M89" s="193"/>
      <c r="N89" s="196"/>
      <c r="O89" s="196"/>
      <c r="P89" s="193"/>
      <c r="Q89" s="193"/>
      <c r="R89" s="99"/>
    </row>
    <row r="90" spans="1:18" x14ac:dyDescent="0.3">
      <c r="A90" s="86" t="str">
        <f>IF(TRIM(H90)&lt;&gt;"",COUNTA(H$9:$H90)&amp;"","")</f>
        <v/>
      </c>
      <c r="B90" s="242"/>
      <c r="C90" s="242"/>
      <c r="D90" s="242"/>
      <c r="E90" s="100" t="s">
        <v>289</v>
      </c>
      <c r="F90" s="245"/>
      <c r="G90" s="65">
        <f>15*10</f>
        <v>150</v>
      </c>
      <c r="H90" s="248"/>
      <c r="I90" s="251"/>
      <c r="J90" s="254"/>
      <c r="K90" s="257"/>
      <c r="L90" s="193"/>
      <c r="M90" s="193"/>
      <c r="N90" s="196"/>
      <c r="O90" s="196"/>
      <c r="P90" s="193"/>
      <c r="Q90" s="193"/>
      <c r="R90" s="99"/>
    </row>
    <row r="91" spans="1:18" x14ac:dyDescent="0.3">
      <c r="A91" s="86" t="str">
        <f>IF(TRIM(H91)&lt;&gt;"",COUNTA(H$9:$H91)&amp;"","")</f>
        <v/>
      </c>
      <c r="B91" s="242"/>
      <c r="C91" s="242"/>
      <c r="D91" s="242"/>
      <c r="E91" s="100" t="s">
        <v>290</v>
      </c>
      <c r="F91" s="245"/>
      <c r="G91" s="65">
        <f>12*15</f>
        <v>180</v>
      </c>
      <c r="H91" s="248"/>
      <c r="I91" s="251"/>
      <c r="J91" s="254"/>
      <c r="K91" s="257"/>
      <c r="L91" s="193"/>
      <c r="M91" s="193"/>
      <c r="N91" s="196"/>
      <c r="O91" s="196"/>
      <c r="P91" s="193"/>
      <c r="Q91" s="193"/>
      <c r="R91" s="99"/>
    </row>
    <row r="92" spans="1:18" x14ac:dyDescent="0.3">
      <c r="A92" s="86" t="str">
        <f>IF(TRIM(H92)&lt;&gt;"",COUNTA(H$9:$H92)&amp;"","")</f>
        <v/>
      </c>
      <c r="B92" s="242"/>
      <c r="C92" s="242"/>
      <c r="D92" s="242"/>
      <c r="E92" s="89" t="s">
        <v>291</v>
      </c>
      <c r="F92" s="245"/>
      <c r="G92" s="65">
        <f>40*74</f>
        <v>2960</v>
      </c>
      <c r="H92" s="248"/>
      <c r="I92" s="251"/>
      <c r="J92" s="254"/>
      <c r="K92" s="257"/>
      <c r="L92" s="193"/>
      <c r="M92" s="193"/>
      <c r="N92" s="196"/>
      <c r="O92" s="196"/>
      <c r="P92" s="193"/>
      <c r="Q92" s="193"/>
      <c r="R92" s="99"/>
    </row>
    <row r="93" spans="1:18" x14ac:dyDescent="0.3">
      <c r="A93" s="86" t="str">
        <f>IF(TRIM(H93)&lt;&gt;"",COUNTA(H$9:$H93)&amp;"","")</f>
        <v/>
      </c>
      <c r="B93" s="242"/>
      <c r="C93" s="242"/>
      <c r="D93" s="242"/>
      <c r="E93" s="89" t="s">
        <v>292</v>
      </c>
      <c r="F93" s="245"/>
      <c r="G93" s="65">
        <f>28*19.5</f>
        <v>546</v>
      </c>
      <c r="H93" s="248"/>
      <c r="I93" s="251"/>
      <c r="J93" s="254"/>
      <c r="K93" s="257"/>
      <c r="L93" s="193"/>
      <c r="M93" s="193"/>
      <c r="N93" s="196"/>
      <c r="O93" s="196"/>
      <c r="P93" s="193"/>
      <c r="Q93" s="193"/>
      <c r="R93" s="99"/>
    </row>
    <row r="94" spans="1:18" x14ac:dyDescent="0.3">
      <c r="A94" s="86" t="str">
        <f>IF(TRIM(H94)&lt;&gt;"",COUNTA(H$9:$H94)&amp;"","")</f>
        <v/>
      </c>
      <c r="B94" s="242"/>
      <c r="C94" s="242"/>
      <c r="D94" s="242"/>
      <c r="E94" s="100" t="s">
        <v>293</v>
      </c>
      <c r="F94" s="245"/>
      <c r="G94" s="65">
        <f>39*31</f>
        <v>1209</v>
      </c>
      <c r="H94" s="248"/>
      <c r="I94" s="251"/>
      <c r="J94" s="254"/>
      <c r="K94" s="257"/>
      <c r="L94" s="193"/>
      <c r="M94" s="193"/>
      <c r="N94" s="196"/>
      <c r="O94" s="196"/>
      <c r="P94" s="193"/>
      <c r="Q94" s="193"/>
      <c r="R94" s="99"/>
    </row>
    <row r="95" spans="1:18" x14ac:dyDescent="0.3">
      <c r="A95" s="86" t="str">
        <f>IF(TRIM(H95)&lt;&gt;"",COUNTA(H$9:$H95)&amp;"","")</f>
        <v/>
      </c>
      <c r="B95" s="242"/>
      <c r="C95" s="242"/>
      <c r="D95" s="242"/>
      <c r="E95" s="100" t="s">
        <v>294</v>
      </c>
      <c r="F95" s="245"/>
      <c r="G95" s="65">
        <f>48*36</f>
        <v>1728</v>
      </c>
      <c r="H95" s="248"/>
      <c r="I95" s="251"/>
      <c r="J95" s="254"/>
      <c r="K95" s="257"/>
      <c r="L95" s="193"/>
      <c r="M95" s="193"/>
      <c r="N95" s="196"/>
      <c r="O95" s="196"/>
      <c r="P95" s="193"/>
      <c r="Q95" s="193"/>
      <c r="R95" s="99"/>
    </row>
    <row r="96" spans="1:18" x14ac:dyDescent="0.3">
      <c r="A96" s="86" t="str">
        <f>IF(TRIM(H96)&lt;&gt;"",COUNTA(H$9:$H96)&amp;"","")</f>
        <v/>
      </c>
      <c r="B96" s="242"/>
      <c r="C96" s="242"/>
      <c r="D96" s="242"/>
      <c r="E96" s="100" t="s">
        <v>295</v>
      </c>
      <c r="F96" s="245"/>
      <c r="G96" s="65">
        <f>26*64</f>
        <v>1664</v>
      </c>
      <c r="H96" s="248"/>
      <c r="I96" s="251"/>
      <c r="J96" s="254"/>
      <c r="K96" s="257"/>
      <c r="L96" s="193"/>
      <c r="M96" s="193"/>
      <c r="N96" s="196"/>
      <c r="O96" s="196"/>
      <c r="P96" s="193"/>
      <c r="Q96" s="193"/>
      <c r="R96" s="99"/>
    </row>
    <row r="97" spans="1:18" x14ac:dyDescent="0.3">
      <c r="A97" s="86" t="str">
        <f>IF(TRIM(H97)&lt;&gt;"",COUNTA(H$9:$H97)&amp;"","")</f>
        <v/>
      </c>
      <c r="B97" s="243"/>
      <c r="C97" s="243"/>
      <c r="D97" s="243"/>
      <c r="E97" s="89" t="s">
        <v>975</v>
      </c>
      <c r="F97" s="246"/>
      <c r="G97" s="65">
        <f>5%*SUM(G64:G96)</f>
        <v>1115.8099250000002</v>
      </c>
      <c r="H97" s="249"/>
      <c r="I97" s="252"/>
      <c r="J97" s="255"/>
      <c r="K97" s="258"/>
      <c r="L97" s="194"/>
      <c r="M97" s="194"/>
      <c r="N97" s="197"/>
      <c r="O97" s="197"/>
      <c r="P97" s="194"/>
      <c r="Q97" s="194"/>
      <c r="R97" s="99"/>
    </row>
    <row r="98" spans="1:18" s="116" customFormat="1" ht="19.2" customHeight="1" x14ac:dyDescent="0.3">
      <c r="A98" s="86" t="str">
        <f>IF(TRIM(H98)&lt;&gt;"",COUNTA(H$9:$H98)&amp;"","")</f>
        <v/>
      </c>
      <c r="B98" s="115"/>
      <c r="C98" s="115"/>
      <c r="D98" s="88" t="s">
        <v>82</v>
      </c>
      <c r="E98" s="164" t="s">
        <v>81</v>
      </c>
      <c r="F98" s="90"/>
      <c r="G98" s="116">
        <f>23432/2000</f>
        <v>11.715999999999999</v>
      </c>
      <c r="H98" s="91"/>
      <c r="I98" s="92" t="str">
        <f t="shared" si="90"/>
        <v/>
      </c>
      <c r="J98" s="93" t="str">
        <f t="shared" si="91"/>
        <v/>
      </c>
      <c r="K98" s="94" t="str">
        <f t="shared" si="92"/>
        <v/>
      </c>
      <c r="L98" s="95" t="str">
        <f t="shared" si="93"/>
        <v/>
      </c>
      <c r="M98" s="96" t="str">
        <f t="shared" si="94"/>
        <v/>
      </c>
      <c r="N98" s="97" t="str">
        <f t="shared" si="95"/>
        <v/>
      </c>
      <c r="O98" s="97" t="str">
        <f t="shared" si="96"/>
        <v/>
      </c>
      <c r="P98" s="95" t="str">
        <f t="shared" si="97"/>
        <v/>
      </c>
      <c r="Q98" s="98" t="str">
        <f t="shared" si="98"/>
        <v/>
      </c>
      <c r="R98" s="99"/>
    </row>
    <row r="99" spans="1:18" x14ac:dyDescent="0.3">
      <c r="A99" s="86" t="str">
        <f>IF(TRIM(H99)&lt;&gt;"",COUNTA(H$9:$H99)&amp;"","")</f>
        <v>38</v>
      </c>
      <c r="B99" s="87" t="s">
        <v>466</v>
      </c>
      <c r="C99" s="87"/>
      <c r="D99" s="88"/>
      <c r="E99" s="100" t="s">
        <v>465</v>
      </c>
      <c r="F99" s="90">
        <v>7</v>
      </c>
      <c r="H99" s="91" t="s">
        <v>210</v>
      </c>
      <c r="I99" s="92">
        <f t="shared" si="90"/>
        <v>0</v>
      </c>
      <c r="J99" s="93">
        <f t="shared" si="91"/>
        <v>7</v>
      </c>
      <c r="K99" s="94">
        <v>21</v>
      </c>
      <c r="L99" s="95">
        <f t="shared" si="93"/>
        <v>147</v>
      </c>
      <c r="M99" s="96">
        <f t="shared" si="94"/>
        <v>75</v>
      </c>
      <c r="N99" s="97">
        <v>0.35</v>
      </c>
      <c r="O99" s="97">
        <f t="shared" si="96"/>
        <v>2.4499999999999997</v>
      </c>
      <c r="P99" s="95">
        <f t="shared" si="97"/>
        <v>183.74999999999997</v>
      </c>
      <c r="Q99" s="98">
        <f t="shared" si="98"/>
        <v>330.75</v>
      </c>
      <c r="R99" s="99"/>
    </row>
    <row r="100" spans="1:18" x14ac:dyDescent="0.3">
      <c r="A100" s="86" t="str">
        <f>IF(TRIM(H100)&lt;&gt;"",COUNTA(H$9:$H100)&amp;"","")</f>
        <v>39</v>
      </c>
      <c r="B100" s="87" t="s">
        <v>464</v>
      </c>
      <c r="C100" s="87"/>
      <c r="D100" s="88"/>
      <c r="E100" s="100" t="s">
        <v>467</v>
      </c>
      <c r="F100" s="90">
        <v>2</v>
      </c>
      <c r="H100" s="91" t="s">
        <v>239</v>
      </c>
      <c r="I100" s="92">
        <f t="shared" si="90"/>
        <v>0</v>
      </c>
      <c r="J100" s="93">
        <f t="shared" si="91"/>
        <v>2</v>
      </c>
      <c r="K100" s="94">
        <v>45</v>
      </c>
      <c r="L100" s="95">
        <f t="shared" si="93"/>
        <v>90</v>
      </c>
      <c r="M100" s="96">
        <f t="shared" si="94"/>
        <v>75</v>
      </c>
      <c r="N100" s="97">
        <v>0.75</v>
      </c>
      <c r="O100" s="97">
        <f t="shared" si="96"/>
        <v>1.5</v>
      </c>
      <c r="P100" s="95">
        <f t="shared" si="97"/>
        <v>112.5</v>
      </c>
      <c r="Q100" s="98">
        <f t="shared" si="98"/>
        <v>202.5</v>
      </c>
      <c r="R100" s="99"/>
    </row>
    <row r="101" spans="1:18" s="116" customFormat="1" ht="19.2" customHeight="1" x14ac:dyDescent="0.3">
      <c r="A101" s="86" t="str">
        <f>IF(TRIM(H101)&lt;&gt;"",COUNTA(H$9:$H101)&amp;"","")</f>
        <v/>
      </c>
      <c r="B101" s="115"/>
      <c r="C101" s="115"/>
      <c r="D101" s="88" t="s">
        <v>84</v>
      </c>
      <c r="E101" s="164" t="s">
        <v>83</v>
      </c>
      <c r="F101" s="90"/>
      <c r="H101" s="91"/>
      <c r="I101" s="92" t="str">
        <f t="shared" si="90"/>
        <v/>
      </c>
      <c r="J101" s="93" t="str">
        <f t="shared" si="91"/>
        <v/>
      </c>
      <c r="K101" s="94" t="s">
        <v>549</v>
      </c>
      <c r="L101" s="95" t="str">
        <f t="shared" si="93"/>
        <v/>
      </c>
      <c r="M101" s="96" t="str">
        <f t="shared" si="94"/>
        <v/>
      </c>
      <c r="N101" s="97" t="s">
        <v>549</v>
      </c>
      <c r="O101" s="97" t="str">
        <f t="shared" si="96"/>
        <v/>
      </c>
      <c r="P101" s="95" t="str">
        <f t="shared" si="97"/>
        <v/>
      </c>
      <c r="Q101" s="98" t="str">
        <f t="shared" si="98"/>
        <v/>
      </c>
      <c r="R101" s="99"/>
    </row>
    <row r="102" spans="1:18" ht="55.2" x14ac:dyDescent="0.3">
      <c r="A102" s="86" t="str">
        <f>IF(TRIM(H102)&lt;&gt;"",COUNTA(H$9:$H102)&amp;"","")</f>
        <v>40</v>
      </c>
      <c r="B102" s="87" t="s">
        <v>354</v>
      </c>
      <c r="C102" s="87" t="s">
        <v>424</v>
      </c>
      <c r="D102" s="87"/>
      <c r="E102" s="100" t="s">
        <v>425</v>
      </c>
      <c r="F102" s="90">
        <v>50</v>
      </c>
      <c r="G102" s="65">
        <f>10*5</f>
        <v>50</v>
      </c>
      <c r="H102" s="91" t="s">
        <v>184</v>
      </c>
      <c r="I102" s="92">
        <f>IF(F102=0,"",0)</f>
        <v>0</v>
      </c>
      <c r="J102" s="93">
        <f>IF(F102=0,"",F102+(F102*I102))</f>
        <v>50</v>
      </c>
      <c r="K102" s="94">
        <v>3.9</v>
      </c>
      <c r="L102" s="95">
        <f>IF(F102=0,"",K102*J102)</f>
        <v>195</v>
      </c>
      <c r="M102" s="96">
        <f>IF(F102=0,"",M$7)</f>
        <v>75</v>
      </c>
      <c r="N102" s="97">
        <v>6.5000000000000002E-2</v>
      </c>
      <c r="O102" s="97">
        <f>IF(F102=0,"",N102*J102)</f>
        <v>3.25</v>
      </c>
      <c r="P102" s="95">
        <f>IF(F102=0,"",O102*M102)</f>
        <v>243.75</v>
      </c>
      <c r="Q102" s="98">
        <f>IF(F102=0,"",L102+P102)</f>
        <v>438.75</v>
      </c>
      <c r="R102" s="99"/>
    </row>
    <row r="103" spans="1:18" s="114" customFormat="1" ht="16.2" thickBot="1" x14ac:dyDescent="0.35">
      <c r="A103" s="86" t="str">
        <f>IF(TRIM(H103)&lt;&gt;"",COUNTA(H$9:$H103)&amp;"","")</f>
        <v/>
      </c>
      <c r="B103" s="103"/>
      <c r="C103" s="103"/>
      <c r="D103" s="104"/>
      <c r="E103" s="105"/>
      <c r="F103" s="90"/>
      <c r="H103" s="91"/>
      <c r="I103" s="92" t="str">
        <f t="shared" si="90"/>
        <v/>
      </c>
      <c r="J103" s="93" t="str">
        <f t="shared" si="91"/>
        <v/>
      </c>
      <c r="K103" s="94" t="str">
        <f t="shared" si="92"/>
        <v/>
      </c>
      <c r="L103" s="95" t="str">
        <f t="shared" si="93"/>
        <v/>
      </c>
      <c r="M103" s="96" t="str">
        <f t="shared" si="94"/>
        <v/>
      </c>
      <c r="N103" s="97" t="str">
        <f t="shared" si="95"/>
        <v/>
      </c>
      <c r="O103" s="97" t="str">
        <f t="shared" si="96"/>
        <v/>
      </c>
      <c r="P103" s="95" t="str">
        <f t="shared" si="97"/>
        <v/>
      </c>
      <c r="Q103" s="98" t="str">
        <f t="shared" si="98"/>
        <v/>
      </c>
      <c r="R103" s="99"/>
    </row>
    <row r="104" spans="1:18" s="114" customFormat="1" ht="16.2" thickBot="1" x14ac:dyDescent="0.35">
      <c r="A104" s="86" t="str">
        <f>IF(TRIM(H104)&lt;&gt;"",COUNTA(H$9:$H104)&amp;"","")</f>
        <v/>
      </c>
      <c r="B104" s="103"/>
      <c r="C104" s="103"/>
      <c r="D104" s="104"/>
      <c r="E104" s="105"/>
      <c r="F104" s="106"/>
      <c r="H104" s="107"/>
      <c r="I104" s="108" t="s">
        <v>12</v>
      </c>
      <c r="J104" s="109"/>
      <c r="K104" s="110">
        <f>SUM(L$62:L$103)</f>
        <v>65332.000000000007</v>
      </c>
      <c r="L104" s="190" t="s">
        <v>13</v>
      </c>
      <c r="M104" s="191"/>
      <c r="N104" s="110">
        <f>SUM(P$62:P$103)</f>
        <v>80190</v>
      </c>
      <c r="O104" s="190" t="s">
        <v>42</v>
      </c>
      <c r="P104" s="191"/>
      <c r="Q104" s="112">
        <f>SUM(O$62:O$103)</f>
        <v>1069.2</v>
      </c>
      <c r="R104" s="113">
        <f>SUM(Q$62:Q$103)</f>
        <v>145522</v>
      </c>
    </row>
    <row r="105" spans="1:18" s="171" customFormat="1" ht="20.100000000000001" customHeight="1" x14ac:dyDescent="0.3">
      <c r="A105" s="167" t="str">
        <f>IF(TRIM(H105)&lt;&gt;"",COUNTA(H$9:$H105)&amp;"","")</f>
        <v/>
      </c>
      <c r="B105" s="168"/>
      <c r="C105" s="168"/>
      <c r="D105" s="169">
        <v>60000</v>
      </c>
      <c r="E105" s="169" t="s">
        <v>150</v>
      </c>
      <c r="F105" s="170"/>
      <c r="H105" s="168"/>
      <c r="I105" s="168" t="str">
        <f t="shared" ref="I105:I112" si="106">IF(F105=0,"",0)</f>
        <v/>
      </c>
      <c r="J105" s="168" t="str">
        <f t="shared" ref="J105:J112" si="107">IF(F105=0,"",F105+(F105*I105))</f>
        <v/>
      </c>
      <c r="K105" s="168" t="str">
        <f t="shared" ref="K105:K112" si="108">IF(F105=0,"",0)</f>
        <v/>
      </c>
      <c r="L105" s="168" t="str">
        <f t="shared" ref="L105:L112" si="109">IF(F105=0,"",K105*J105)</f>
        <v/>
      </c>
      <c r="M105" s="168" t="str">
        <f t="shared" ref="M105:M112" si="110">IF(F105=0,"",M$7)</f>
        <v/>
      </c>
      <c r="N105" s="168" t="str">
        <f t="shared" ref="N105:N112" si="111">IF(F105=0,"",0)</f>
        <v/>
      </c>
      <c r="O105" s="168" t="str">
        <f t="shared" ref="O105:O112" si="112">IF(F105=0,"",N105*J105)</f>
        <v/>
      </c>
      <c r="P105" s="168" t="str">
        <f t="shared" ref="P105:P112" si="113">IF(F105=0,"",O105*M105)</f>
        <v/>
      </c>
      <c r="Q105" s="168" t="str">
        <f t="shared" ref="Q105:Q112" si="114">IF(F105=0,"",L105+P105)</f>
        <v/>
      </c>
      <c r="R105" s="172"/>
    </row>
    <row r="106" spans="1:18" s="116" customFormat="1" ht="19.2" customHeight="1" x14ac:dyDescent="0.3">
      <c r="A106" s="86" t="str">
        <f>IF(TRIM(H106)&lt;&gt;"",COUNTA(H$9:$H106)&amp;"","")</f>
        <v/>
      </c>
      <c r="B106" s="115"/>
      <c r="C106" s="115"/>
      <c r="D106" s="88" t="s">
        <v>86</v>
      </c>
      <c r="E106" s="164" t="s">
        <v>85</v>
      </c>
      <c r="F106" s="90"/>
      <c r="H106" s="91"/>
      <c r="I106" s="92" t="str">
        <f t="shared" si="106"/>
        <v/>
      </c>
      <c r="J106" s="93" t="str">
        <f t="shared" si="107"/>
        <v/>
      </c>
      <c r="K106" s="94" t="str">
        <f t="shared" si="108"/>
        <v/>
      </c>
      <c r="L106" s="95" t="str">
        <f t="shared" si="109"/>
        <v/>
      </c>
      <c r="M106" s="96" t="str">
        <f t="shared" si="110"/>
        <v/>
      </c>
      <c r="N106" s="97" t="str">
        <f t="shared" si="111"/>
        <v/>
      </c>
      <c r="O106" s="97" t="str">
        <f t="shared" si="112"/>
        <v/>
      </c>
      <c r="P106" s="95" t="str">
        <f t="shared" si="113"/>
        <v/>
      </c>
      <c r="Q106" s="98" t="str">
        <f t="shared" si="114"/>
        <v/>
      </c>
      <c r="R106" s="99"/>
    </row>
    <row r="107" spans="1:18" x14ac:dyDescent="0.3">
      <c r="A107" s="86" t="str">
        <f>IF(TRIM(H107)&lt;&gt;"",COUNTA(H$9:$H107)&amp;"","")</f>
        <v>41</v>
      </c>
      <c r="B107" s="87" t="s">
        <v>354</v>
      </c>
      <c r="C107" s="87"/>
      <c r="D107" s="88"/>
      <c r="E107" s="89" t="s">
        <v>382</v>
      </c>
      <c r="F107" s="90">
        <v>35</v>
      </c>
      <c r="H107" s="91" t="s">
        <v>210</v>
      </c>
      <c r="I107" s="92">
        <f t="shared" ref="I107" si="115">IF(F107=0,"",0)</f>
        <v>0</v>
      </c>
      <c r="J107" s="93">
        <f t="shared" ref="J107" si="116">IF(F107=0,"",F107+(F107*I107))</f>
        <v>35</v>
      </c>
      <c r="K107" s="94">
        <v>1.08</v>
      </c>
      <c r="L107" s="95">
        <f t="shared" ref="L107" si="117">IF(F107=0,"",K107*J107)</f>
        <v>37.800000000000004</v>
      </c>
      <c r="M107" s="96">
        <f t="shared" ref="M107" si="118">IF(F107=0,"",M$7)</f>
        <v>75</v>
      </c>
      <c r="N107" s="97">
        <v>1.8000000000000002E-2</v>
      </c>
      <c r="O107" s="97">
        <f t="shared" ref="O107" si="119">IF(F107=0,"",N107*J107)</f>
        <v>0.63000000000000012</v>
      </c>
      <c r="P107" s="95">
        <f t="shared" ref="P107" si="120">IF(F107=0,"",O107*M107)</f>
        <v>47.250000000000007</v>
      </c>
      <c r="Q107" s="98">
        <f t="shared" ref="Q107" si="121">IF(F107=0,"",L107+P107)</f>
        <v>85.050000000000011</v>
      </c>
      <c r="R107" s="99"/>
    </row>
    <row r="108" spans="1:18" x14ac:dyDescent="0.3">
      <c r="A108" s="86" t="str">
        <f>IF(TRIM(H108)&lt;&gt;"",COUNTA(H$9:$H108)&amp;"","")</f>
        <v>42</v>
      </c>
      <c r="B108" s="87" t="s">
        <v>354</v>
      </c>
      <c r="C108" s="87"/>
      <c r="D108" s="88"/>
      <c r="E108" s="89" t="s">
        <v>962</v>
      </c>
      <c r="F108" s="90">
        <v>846</v>
      </c>
      <c r="G108" s="65">
        <f>1125/1.33</f>
        <v>845.86466165413526</v>
      </c>
      <c r="H108" s="91" t="s">
        <v>210</v>
      </c>
      <c r="I108" s="92">
        <f t="shared" si="106"/>
        <v>0</v>
      </c>
      <c r="J108" s="93">
        <f t="shared" si="107"/>
        <v>846</v>
      </c>
      <c r="K108" s="94">
        <v>2.04</v>
      </c>
      <c r="L108" s="95">
        <f t="shared" si="109"/>
        <v>1725.84</v>
      </c>
      <c r="M108" s="96">
        <f t="shared" si="110"/>
        <v>75</v>
      </c>
      <c r="N108" s="97">
        <v>3.4000000000000002E-2</v>
      </c>
      <c r="O108" s="97">
        <f t="shared" si="112"/>
        <v>28.764000000000003</v>
      </c>
      <c r="P108" s="95">
        <f t="shared" si="113"/>
        <v>2157.3000000000002</v>
      </c>
      <c r="Q108" s="98">
        <f t="shared" si="114"/>
        <v>3883.1400000000003</v>
      </c>
      <c r="R108" s="99"/>
    </row>
    <row r="109" spans="1:18" x14ac:dyDescent="0.3">
      <c r="A109" s="86" t="str">
        <f>IF(TRIM(H109)&lt;&gt;"",COUNTA(H$9:$H109)&amp;"","")</f>
        <v>43</v>
      </c>
      <c r="B109" s="87"/>
      <c r="C109" s="87"/>
      <c r="D109" s="88"/>
      <c r="E109" s="89" t="s">
        <v>521</v>
      </c>
      <c r="F109" s="90">
        <v>1</v>
      </c>
      <c r="H109" s="91" t="s">
        <v>218</v>
      </c>
      <c r="I109" s="92">
        <f t="shared" si="106"/>
        <v>0</v>
      </c>
      <c r="J109" s="93">
        <f t="shared" si="107"/>
        <v>1</v>
      </c>
      <c r="K109" s="94">
        <v>1.68</v>
      </c>
      <c r="L109" s="95">
        <f t="shared" si="109"/>
        <v>1.68</v>
      </c>
      <c r="M109" s="96">
        <f t="shared" si="110"/>
        <v>75</v>
      </c>
      <c r="N109" s="97">
        <v>2.7999999999999997E-2</v>
      </c>
      <c r="O109" s="97">
        <f t="shared" si="112"/>
        <v>2.7999999999999997E-2</v>
      </c>
      <c r="P109" s="95">
        <f t="shared" si="113"/>
        <v>2.0999999999999996</v>
      </c>
      <c r="Q109" s="98">
        <f t="shared" si="114"/>
        <v>3.7799999999999994</v>
      </c>
      <c r="R109" s="99"/>
    </row>
    <row r="110" spans="1:18" s="116" customFormat="1" ht="19.2" customHeight="1" x14ac:dyDescent="0.3">
      <c r="A110" s="86" t="str">
        <f>IF(TRIM(H110)&lt;&gt;"",COUNTA(H$9:$H110)&amp;"","")</f>
        <v/>
      </c>
      <c r="B110" s="115"/>
      <c r="C110" s="115"/>
      <c r="D110" s="88" t="s">
        <v>88</v>
      </c>
      <c r="E110" s="164" t="s">
        <v>87</v>
      </c>
      <c r="F110" s="90"/>
      <c r="H110" s="91"/>
      <c r="I110" s="92" t="str">
        <f t="shared" si="106"/>
        <v/>
      </c>
      <c r="J110" s="93" t="str">
        <f t="shared" si="107"/>
        <v/>
      </c>
      <c r="K110" s="94" t="s">
        <v>549</v>
      </c>
      <c r="L110" s="95" t="str">
        <f t="shared" si="109"/>
        <v/>
      </c>
      <c r="M110" s="96" t="str">
        <f t="shared" si="110"/>
        <v/>
      </c>
      <c r="N110" s="97" t="s">
        <v>549</v>
      </c>
      <c r="O110" s="97" t="str">
        <f t="shared" si="112"/>
        <v/>
      </c>
      <c r="P110" s="95" t="str">
        <f t="shared" si="113"/>
        <v/>
      </c>
      <c r="Q110" s="98" t="str">
        <f t="shared" si="114"/>
        <v/>
      </c>
      <c r="R110" s="99"/>
    </row>
    <row r="111" spans="1:18" x14ac:dyDescent="0.3">
      <c r="A111" s="86" t="str">
        <f>IF(TRIM(H111)&lt;&gt;"",COUNTA(H$9:$H111)&amp;"","")</f>
        <v>44</v>
      </c>
      <c r="B111" s="87" t="s">
        <v>410</v>
      </c>
      <c r="C111" s="87"/>
      <c r="D111" s="87" t="s">
        <v>248</v>
      </c>
      <c r="E111" s="100" t="s">
        <v>423</v>
      </c>
      <c r="F111" s="90">
        <v>140</v>
      </c>
      <c r="H111" s="91" t="s">
        <v>184</v>
      </c>
      <c r="I111" s="92">
        <f t="shared" ref="I111" si="122">IF(F111=0,"",0)</f>
        <v>0</v>
      </c>
      <c r="J111" s="93">
        <f t="shared" ref="J111" si="123">IF(F111=0,"",F111+(F111*I111))</f>
        <v>140</v>
      </c>
      <c r="K111" s="94">
        <v>2.7480000000000002</v>
      </c>
      <c r="L111" s="95">
        <f t="shared" ref="L111" si="124">IF(F111=0,"",K111*J111)</f>
        <v>384.72</v>
      </c>
      <c r="M111" s="96">
        <f t="shared" ref="M111" si="125">IF(F111=0,"",M$7)</f>
        <v>75</v>
      </c>
      <c r="N111" s="97">
        <v>4.58E-2</v>
      </c>
      <c r="O111" s="97">
        <f t="shared" ref="O111" si="126">IF(F111=0,"",N111*J111)</f>
        <v>6.4119999999999999</v>
      </c>
      <c r="P111" s="95">
        <f t="shared" ref="P111" si="127">IF(F111=0,"",O111*M111)</f>
        <v>480.9</v>
      </c>
      <c r="Q111" s="98">
        <f t="shared" ref="Q111" si="128">IF(F111=0,"",L111+P111)</f>
        <v>865.62</v>
      </c>
      <c r="R111" s="99"/>
    </row>
    <row r="112" spans="1:18" ht="15" thickBot="1" x14ac:dyDescent="0.35">
      <c r="A112" s="86" t="str">
        <f>IF(TRIM(H112)&lt;&gt;"",COUNTA(H$9:$H112)&amp;"","")</f>
        <v/>
      </c>
      <c r="B112" s="101"/>
      <c r="C112" s="101"/>
      <c r="D112" s="88"/>
      <c r="E112" s="102"/>
      <c r="F112" s="90"/>
      <c r="H112" s="91"/>
      <c r="I112" s="92" t="str">
        <f t="shared" si="106"/>
        <v/>
      </c>
      <c r="J112" s="93" t="str">
        <f t="shared" si="107"/>
        <v/>
      </c>
      <c r="K112" s="94" t="str">
        <f t="shared" si="108"/>
        <v/>
      </c>
      <c r="L112" s="95" t="str">
        <f t="shared" si="109"/>
        <v/>
      </c>
      <c r="M112" s="96" t="str">
        <f t="shared" si="110"/>
        <v/>
      </c>
      <c r="N112" s="97" t="str">
        <f t="shared" si="111"/>
        <v/>
      </c>
      <c r="O112" s="97" t="str">
        <f t="shared" si="112"/>
        <v/>
      </c>
      <c r="P112" s="95" t="str">
        <f t="shared" si="113"/>
        <v/>
      </c>
      <c r="Q112" s="98" t="str">
        <f t="shared" si="114"/>
        <v/>
      </c>
      <c r="R112" s="99"/>
    </row>
    <row r="113" spans="1:18" s="114" customFormat="1" ht="16.2" thickBot="1" x14ac:dyDescent="0.35">
      <c r="A113" s="86" t="str">
        <f>IF(TRIM(H113)&lt;&gt;"",COUNTA(H$9:$H113)&amp;"","")</f>
        <v/>
      </c>
      <c r="B113" s="103"/>
      <c r="C113" s="103"/>
      <c r="D113" s="104"/>
      <c r="E113" s="105"/>
      <c r="F113" s="106"/>
      <c r="H113" s="107"/>
      <c r="I113" s="108" t="s">
        <v>12</v>
      </c>
      <c r="J113" s="109"/>
      <c r="K113" s="110">
        <f>SUM(L$105:L$112)</f>
        <v>2150.04</v>
      </c>
      <c r="L113" s="190" t="s">
        <v>13</v>
      </c>
      <c r="M113" s="191"/>
      <c r="N113" s="111">
        <f>SUM(P$105:P$112)</f>
        <v>2687.55</v>
      </c>
      <c r="O113" s="190" t="s">
        <v>42</v>
      </c>
      <c r="P113" s="191"/>
      <c r="Q113" s="112">
        <f>SUM(O$105:O$112)</f>
        <v>35.834000000000003</v>
      </c>
      <c r="R113" s="113">
        <f>SUM(Q$105:Q$112)</f>
        <v>4837.5900000000011</v>
      </c>
    </row>
    <row r="114" spans="1:18" s="171" customFormat="1" ht="19.2" customHeight="1" x14ac:dyDescent="0.3">
      <c r="A114" s="167" t="str">
        <f>IF(TRIM(H114)&lt;&gt;"",COUNTA(H$9:$H114)&amp;"","")</f>
        <v/>
      </c>
      <c r="B114" s="168"/>
      <c r="C114" s="168"/>
      <c r="D114" s="169">
        <v>70000</v>
      </c>
      <c r="E114" s="169" t="s">
        <v>151</v>
      </c>
      <c r="F114" s="170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72"/>
    </row>
    <row r="115" spans="1:18" s="116" customFormat="1" ht="19.2" customHeight="1" x14ac:dyDescent="0.3">
      <c r="A115" s="86" t="str">
        <f>IF(TRIM(H115)&lt;&gt;"",COUNTA(H$9:$H115)&amp;"","")</f>
        <v/>
      </c>
      <c r="B115" s="115"/>
      <c r="C115" s="115"/>
      <c r="D115" s="88"/>
      <c r="E115" s="164" t="s">
        <v>488</v>
      </c>
      <c r="F115" s="90"/>
      <c r="H115" s="91"/>
      <c r="I115" s="92" t="str">
        <f t="shared" ref="I115:I116" si="129">IF(F115=0,"",0)</f>
        <v/>
      </c>
      <c r="J115" s="93" t="str">
        <f t="shared" ref="J115:J116" si="130">IF(F115=0,"",F115+(F115*I115))</f>
        <v/>
      </c>
      <c r="K115" s="94" t="str">
        <f t="shared" ref="K115" si="131">IF(F115=0,"",0)</f>
        <v/>
      </c>
      <c r="L115" s="95" t="str">
        <f t="shared" ref="L115:L116" si="132">IF(F115=0,"",K115*J115)</f>
        <v/>
      </c>
      <c r="M115" s="96" t="str">
        <f t="shared" ref="M115:M116" si="133">IF(F115=0,"",M$7)</f>
        <v/>
      </c>
      <c r="N115" s="97" t="str">
        <f t="shared" ref="N115" si="134">IF(F115=0,"",0)</f>
        <v/>
      </c>
      <c r="O115" s="97" t="str">
        <f t="shared" ref="O115:O116" si="135">IF(F115=0,"",N115*J115)</f>
        <v/>
      </c>
      <c r="P115" s="95" t="str">
        <f t="shared" ref="P115:P116" si="136">IF(F115=0,"",O115*M115)</f>
        <v/>
      </c>
      <c r="Q115" s="98" t="str">
        <f t="shared" ref="Q115:Q116" si="137">IF(F115=0,"",L115+P115)</f>
        <v/>
      </c>
      <c r="R115" s="99"/>
    </row>
    <row r="116" spans="1:18" ht="27.6" x14ac:dyDescent="0.3">
      <c r="A116" s="86" t="str">
        <f>IF(TRIM(H116)&lt;&gt;"",COUNTA(H$9:$H116)&amp;"","")</f>
        <v>45</v>
      </c>
      <c r="B116" s="87" t="s">
        <v>335</v>
      </c>
      <c r="C116" s="87" t="s">
        <v>489</v>
      </c>
      <c r="D116" s="88"/>
      <c r="E116" s="100" t="s">
        <v>980</v>
      </c>
      <c r="F116" s="90">
        <v>1125</v>
      </c>
      <c r="H116" s="91" t="s">
        <v>184</v>
      </c>
      <c r="I116" s="92">
        <f t="shared" si="129"/>
        <v>0</v>
      </c>
      <c r="J116" s="93">
        <f t="shared" si="130"/>
        <v>1125</v>
      </c>
      <c r="K116" s="94">
        <v>0</v>
      </c>
      <c r="L116" s="95">
        <f t="shared" si="132"/>
        <v>0</v>
      </c>
      <c r="M116" s="96">
        <f t="shared" si="133"/>
        <v>75</v>
      </c>
      <c r="N116" s="97">
        <v>6.7500000000000004E-2</v>
      </c>
      <c r="O116" s="97">
        <f t="shared" si="135"/>
        <v>75.9375</v>
      </c>
      <c r="P116" s="95">
        <f t="shared" si="136"/>
        <v>5695.3125</v>
      </c>
      <c r="Q116" s="98">
        <f t="shared" si="137"/>
        <v>5695.3125</v>
      </c>
      <c r="R116" s="99"/>
    </row>
    <row r="117" spans="1:18" s="116" customFormat="1" ht="19.2" customHeight="1" x14ac:dyDescent="0.3">
      <c r="A117" s="86" t="str">
        <f>IF(TRIM(H117)&lt;&gt;"",COUNTA(H$9:$H117)&amp;"","")</f>
        <v/>
      </c>
      <c r="B117" s="115"/>
      <c r="C117" s="115"/>
      <c r="D117" s="88"/>
      <c r="E117" s="164" t="s">
        <v>470</v>
      </c>
      <c r="F117" s="90"/>
      <c r="H117" s="91"/>
      <c r="I117" s="92" t="str">
        <f t="shared" ref="I117:I133" si="138">IF(F117=0,"",0)</f>
        <v/>
      </c>
      <c r="J117" s="93" t="str">
        <f t="shared" ref="J117:J133" si="139">IF(F117=0,"",F117+(F117*I117))</f>
        <v/>
      </c>
      <c r="K117" s="94" t="s">
        <v>549</v>
      </c>
      <c r="L117" s="95" t="str">
        <f t="shared" ref="L117:L133" si="140">IF(F117=0,"",K117*J117)</f>
        <v/>
      </c>
      <c r="M117" s="96" t="str">
        <f t="shared" ref="M117:M133" si="141">IF(F117=0,"",M$7)</f>
        <v/>
      </c>
      <c r="N117" s="97" t="s">
        <v>549</v>
      </c>
      <c r="O117" s="97" t="str">
        <f t="shared" ref="O117:O133" si="142">IF(F117=0,"",N117*J117)</f>
        <v/>
      </c>
      <c r="P117" s="95" t="str">
        <f t="shared" ref="P117:P133" si="143">IF(F117=0,"",O117*M117)</f>
        <v/>
      </c>
      <c r="Q117" s="98" t="str">
        <f t="shared" ref="Q117:Q133" si="144">IF(F117=0,"",L117+P117)</f>
        <v/>
      </c>
      <c r="R117" s="99"/>
    </row>
    <row r="118" spans="1:18" x14ac:dyDescent="0.3">
      <c r="A118" s="86" t="str">
        <f>IF(TRIM(H118)&lt;&gt;"",COUNTA(H$9:$H118)&amp;"","")</f>
        <v/>
      </c>
      <c r="B118" s="87"/>
      <c r="C118" s="87"/>
      <c r="D118" s="88"/>
      <c r="E118" s="100" t="s">
        <v>471</v>
      </c>
      <c r="F118" s="90"/>
      <c r="H118" s="91"/>
      <c r="I118" s="92" t="str">
        <f t="shared" si="138"/>
        <v/>
      </c>
      <c r="J118" s="93" t="str">
        <f t="shared" si="139"/>
        <v/>
      </c>
      <c r="K118" s="94" t="s">
        <v>549</v>
      </c>
      <c r="L118" s="95" t="str">
        <f t="shared" si="140"/>
        <v/>
      </c>
      <c r="M118" s="96" t="str">
        <f t="shared" si="141"/>
        <v/>
      </c>
      <c r="N118" s="97" t="s">
        <v>549</v>
      </c>
      <c r="O118" s="97" t="str">
        <f t="shared" si="142"/>
        <v/>
      </c>
      <c r="P118" s="95" t="str">
        <f t="shared" si="143"/>
        <v/>
      </c>
      <c r="Q118" s="98" t="str">
        <f t="shared" si="144"/>
        <v/>
      </c>
      <c r="R118" s="99"/>
    </row>
    <row r="119" spans="1:18" x14ac:dyDescent="0.3">
      <c r="A119" s="86" t="str">
        <f>IF(TRIM(H119)&lt;&gt;"",COUNTA(H$9:$H119)&amp;"","")</f>
        <v>46</v>
      </c>
      <c r="B119" s="87" t="s">
        <v>473</v>
      </c>
      <c r="C119" s="87"/>
      <c r="D119" s="88"/>
      <c r="E119" s="100" t="s">
        <v>472</v>
      </c>
      <c r="F119" s="90">
        <v>8</v>
      </c>
      <c r="H119" s="91" t="s">
        <v>210</v>
      </c>
      <c r="I119" s="92">
        <f t="shared" si="138"/>
        <v>0</v>
      </c>
      <c r="J119" s="93">
        <f t="shared" si="139"/>
        <v>8</v>
      </c>
      <c r="K119" s="94">
        <v>1.68</v>
      </c>
      <c r="L119" s="95">
        <f t="shared" si="140"/>
        <v>13.44</v>
      </c>
      <c r="M119" s="96">
        <f t="shared" si="141"/>
        <v>75</v>
      </c>
      <c r="N119" s="97">
        <v>2.7999999999999997E-2</v>
      </c>
      <c r="O119" s="97">
        <f t="shared" si="142"/>
        <v>0.22399999999999998</v>
      </c>
      <c r="P119" s="95">
        <f t="shared" si="143"/>
        <v>16.799999999999997</v>
      </c>
      <c r="Q119" s="98">
        <f t="shared" si="144"/>
        <v>30.239999999999995</v>
      </c>
      <c r="R119" s="99"/>
    </row>
    <row r="120" spans="1:18" x14ac:dyDescent="0.3">
      <c r="A120" s="86" t="str">
        <f>IF(TRIM(H120)&lt;&gt;"",COUNTA(H$9:$H120)&amp;"","")</f>
        <v>47</v>
      </c>
      <c r="B120" s="87" t="s">
        <v>473</v>
      </c>
      <c r="C120" s="87"/>
      <c r="D120" s="87" t="s">
        <v>347</v>
      </c>
      <c r="E120" s="100" t="s">
        <v>474</v>
      </c>
      <c r="F120" s="90">
        <v>11</v>
      </c>
      <c r="H120" s="91" t="s">
        <v>210</v>
      </c>
      <c r="I120" s="92">
        <f t="shared" si="138"/>
        <v>0</v>
      </c>
      <c r="J120" s="93">
        <f t="shared" si="139"/>
        <v>11</v>
      </c>
      <c r="K120" s="94">
        <v>1.92</v>
      </c>
      <c r="L120" s="95">
        <f t="shared" si="140"/>
        <v>21.119999999999997</v>
      </c>
      <c r="M120" s="96">
        <f t="shared" si="141"/>
        <v>75</v>
      </c>
      <c r="N120" s="97">
        <v>3.2000000000000008E-2</v>
      </c>
      <c r="O120" s="97">
        <f t="shared" si="142"/>
        <v>0.35200000000000009</v>
      </c>
      <c r="P120" s="95">
        <f t="shared" si="143"/>
        <v>26.400000000000006</v>
      </c>
      <c r="Q120" s="98">
        <f t="shared" si="144"/>
        <v>47.52</v>
      </c>
      <c r="R120" s="99"/>
    </row>
    <row r="121" spans="1:18" x14ac:dyDescent="0.3">
      <c r="A121" s="86" t="str">
        <f>IF(TRIM(H121)&lt;&gt;"",COUNTA(H$9:$H121)&amp;"","")</f>
        <v>48</v>
      </c>
      <c r="B121" s="87" t="s">
        <v>473</v>
      </c>
      <c r="C121" s="87" t="s">
        <v>478</v>
      </c>
      <c r="D121" s="87" t="s">
        <v>248</v>
      </c>
      <c r="E121" s="100" t="s">
        <v>475</v>
      </c>
      <c r="F121" s="90">
        <v>7</v>
      </c>
      <c r="H121" s="91" t="s">
        <v>239</v>
      </c>
      <c r="I121" s="92">
        <f t="shared" si="138"/>
        <v>0</v>
      </c>
      <c r="J121" s="93">
        <f t="shared" si="139"/>
        <v>7</v>
      </c>
      <c r="K121" s="94">
        <v>10.260000000000002</v>
      </c>
      <c r="L121" s="95">
        <f t="shared" si="140"/>
        <v>71.820000000000007</v>
      </c>
      <c r="M121" s="96">
        <f t="shared" si="141"/>
        <v>75</v>
      </c>
      <c r="N121" s="97">
        <v>0.17100000000000001</v>
      </c>
      <c r="O121" s="97">
        <f t="shared" si="142"/>
        <v>1.1970000000000001</v>
      </c>
      <c r="P121" s="95">
        <f t="shared" si="143"/>
        <v>89.775000000000006</v>
      </c>
      <c r="Q121" s="98">
        <f t="shared" si="144"/>
        <v>161.59500000000003</v>
      </c>
      <c r="R121" s="99"/>
    </row>
    <row r="122" spans="1:18" x14ac:dyDescent="0.3">
      <c r="A122" s="86" t="str">
        <f>IF(TRIM(H122)&lt;&gt;"",COUNTA(H$9:$H122)&amp;"","")</f>
        <v>49</v>
      </c>
      <c r="B122" s="87" t="s">
        <v>473</v>
      </c>
      <c r="C122" s="87"/>
      <c r="D122" s="87" t="s">
        <v>377</v>
      </c>
      <c r="E122" s="100" t="s">
        <v>477</v>
      </c>
      <c r="F122" s="90">
        <v>1</v>
      </c>
      <c r="H122" s="91" t="s">
        <v>239</v>
      </c>
      <c r="I122" s="92">
        <f t="shared" si="138"/>
        <v>0</v>
      </c>
      <c r="J122" s="93">
        <f t="shared" si="139"/>
        <v>1</v>
      </c>
      <c r="K122" s="94">
        <v>12.600000000000001</v>
      </c>
      <c r="L122" s="95">
        <f t="shared" si="140"/>
        <v>12.600000000000001</v>
      </c>
      <c r="M122" s="96">
        <f t="shared" si="141"/>
        <v>75</v>
      </c>
      <c r="N122" s="97">
        <v>0.13499999999999998</v>
      </c>
      <c r="O122" s="97">
        <f t="shared" si="142"/>
        <v>0.13499999999999998</v>
      </c>
      <c r="P122" s="95">
        <f t="shared" si="143"/>
        <v>10.124999999999998</v>
      </c>
      <c r="Q122" s="98">
        <f t="shared" si="144"/>
        <v>22.725000000000001</v>
      </c>
      <c r="R122" s="99"/>
    </row>
    <row r="123" spans="1:18" ht="41.4" x14ac:dyDescent="0.3">
      <c r="A123" s="86" t="str">
        <f>IF(TRIM(H123)&lt;&gt;"",COUNTA(H$9:$H123)&amp;"","")</f>
        <v>50</v>
      </c>
      <c r="B123" s="87" t="s">
        <v>473</v>
      </c>
      <c r="C123" s="87" t="s">
        <v>480</v>
      </c>
      <c r="D123" s="87" t="s">
        <v>238</v>
      </c>
      <c r="E123" s="100" t="s">
        <v>479</v>
      </c>
      <c r="F123" s="90">
        <v>75</v>
      </c>
      <c r="H123" s="91" t="s">
        <v>184</v>
      </c>
      <c r="I123" s="92">
        <f t="shared" si="138"/>
        <v>0</v>
      </c>
      <c r="J123" s="93">
        <f t="shared" si="139"/>
        <v>75</v>
      </c>
      <c r="K123" s="94">
        <v>7.3199999999999994</v>
      </c>
      <c r="L123" s="95">
        <f t="shared" si="140"/>
        <v>549</v>
      </c>
      <c r="M123" s="96">
        <f t="shared" si="141"/>
        <v>75</v>
      </c>
      <c r="N123" s="97">
        <v>0.122</v>
      </c>
      <c r="O123" s="97">
        <f t="shared" si="142"/>
        <v>9.15</v>
      </c>
      <c r="P123" s="95">
        <f t="shared" si="143"/>
        <v>686.25</v>
      </c>
      <c r="Q123" s="98">
        <f t="shared" si="144"/>
        <v>1235.25</v>
      </c>
      <c r="R123" s="99"/>
    </row>
    <row r="124" spans="1:18" x14ac:dyDescent="0.3">
      <c r="A124" s="86" t="str">
        <f>IF(TRIM(H124)&lt;&gt;"",COUNTA(H$9:$H124)&amp;"","")</f>
        <v>51</v>
      </c>
      <c r="B124" s="87" t="s">
        <v>473</v>
      </c>
      <c r="C124" s="87"/>
      <c r="D124" s="88"/>
      <c r="E124" s="100" t="s">
        <v>476</v>
      </c>
      <c r="F124" s="90">
        <v>85</v>
      </c>
      <c r="H124" s="91" t="s">
        <v>210</v>
      </c>
      <c r="I124" s="92">
        <f t="shared" si="138"/>
        <v>0</v>
      </c>
      <c r="J124" s="93">
        <f t="shared" si="139"/>
        <v>85</v>
      </c>
      <c r="K124" s="94">
        <v>1.68</v>
      </c>
      <c r="L124" s="95">
        <f t="shared" si="140"/>
        <v>142.79999999999998</v>
      </c>
      <c r="M124" s="96">
        <f t="shared" si="141"/>
        <v>75</v>
      </c>
      <c r="N124" s="97">
        <v>2.7999999999999997E-2</v>
      </c>
      <c r="O124" s="97">
        <f t="shared" si="142"/>
        <v>2.38</v>
      </c>
      <c r="P124" s="95">
        <f t="shared" si="143"/>
        <v>178.5</v>
      </c>
      <c r="Q124" s="98">
        <f t="shared" si="144"/>
        <v>321.29999999999995</v>
      </c>
      <c r="R124" s="99"/>
    </row>
    <row r="125" spans="1:18" s="116" customFormat="1" ht="19.2" customHeight="1" x14ac:dyDescent="0.3">
      <c r="A125" s="86" t="str">
        <f>IF(TRIM(H125)&lt;&gt;"",COUNTA(H$9:$H125)&amp;"","")</f>
        <v/>
      </c>
      <c r="B125" s="115"/>
      <c r="C125" s="115"/>
      <c r="D125" s="88" t="s">
        <v>90</v>
      </c>
      <c r="E125" s="164" t="s">
        <v>89</v>
      </c>
      <c r="F125" s="90"/>
      <c r="H125" s="91"/>
      <c r="I125" s="92" t="str">
        <f t="shared" si="138"/>
        <v/>
      </c>
      <c r="J125" s="93" t="str">
        <f t="shared" si="139"/>
        <v/>
      </c>
      <c r="K125" s="94" t="s">
        <v>549</v>
      </c>
      <c r="L125" s="95" t="str">
        <f t="shared" si="140"/>
        <v/>
      </c>
      <c r="M125" s="96" t="str">
        <f t="shared" si="141"/>
        <v/>
      </c>
      <c r="N125" s="97" t="s">
        <v>549</v>
      </c>
      <c r="O125" s="97" t="str">
        <f t="shared" si="142"/>
        <v/>
      </c>
      <c r="P125" s="95" t="str">
        <f t="shared" si="143"/>
        <v/>
      </c>
      <c r="Q125" s="98" t="str">
        <f t="shared" si="144"/>
        <v/>
      </c>
      <c r="R125" s="99"/>
    </row>
    <row r="126" spans="1:18" x14ac:dyDescent="0.3">
      <c r="A126" s="86" t="str">
        <f>IF(TRIM(H126)&lt;&gt;"",COUNTA(H$9:$H126)&amp;"","")</f>
        <v>52</v>
      </c>
      <c r="B126" s="87" t="s">
        <v>482</v>
      </c>
      <c r="C126" s="87"/>
      <c r="D126" s="87" t="s">
        <v>483</v>
      </c>
      <c r="E126" s="100" t="s">
        <v>481</v>
      </c>
      <c r="F126" s="90">
        <v>1</v>
      </c>
      <c r="H126" s="91" t="s">
        <v>239</v>
      </c>
      <c r="I126" s="92">
        <f t="shared" si="138"/>
        <v>0</v>
      </c>
      <c r="J126" s="93">
        <f t="shared" si="139"/>
        <v>1</v>
      </c>
      <c r="K126" s="94">
        <v>1062.5</v>
      </c>
      <c r="L126" s="95">
        <f t="shared" si="140"/>
        <v>1062.5</v>
      </c>
      <c r="M126" s="96">
        <f t="shared" si="141"/>
        <v>75</v>
      </c>
      <c r="N126" s="97">
        <v>4.6875</v>
      </c>
      <c r="O126" s="97">
        <f t="shared" si="142"/>
        <v>4.6875</v>
      </c>
      <c r="P126" s="95">
        <f t="shared" si="143"/>
        <v>351.5625</v>
      </c>
      <c r="Q126" s="98">
        <f t="shared" si="144"/>
        <v>1414.0625</v>
      </c>
      <c r="R126" s="99"/>
    </row>
    <row r="127" spans="1:18" s="116" customFormat="1" ht="19.2" customHeight="1" x14ac:dyDescent="0.3">
      <c r="A127" s="86" t="str">
        <f>IF(TRIM(H127)&lt;&gt;"",COUNTA(H$9:$H127)&amp;"","")</f>
        <v/>
      </c>
      <c r="B127" s="115"/>
      <c r="C127" s="115"/>
      <c r="D127" s="88" t="s">
        <v>92</v>
      </c>
      <c r="E127" s="164" t="s">
        <v>91</v>
      </c>
      <c r="F127" s="90"/>
      <c r="H127" s="91"/>
      <c r="I127" s="92" t="str">
        <f t="shared" si="138"/>
        <v/>
      </c>
      <c r="J127" s="93" t="str">
        <f t="shared" si="139"/>
        <v/>
      </c>
      <c r="K127" s="94" t="s">
        <v>549</v>
      </c>
      <c r="L127" s="95" t="str">
        <f t="shared" si="140"/>
        <v/>
      </c>
      <c r="M127" s="96" t="str">
        <f t="shared" si="141"/>
        <v/>
      </c>
      <c r="N127" s="97" t="s">
        <v>549</v>
      </c>
      <c r="O127" s="97" t="str">
        <f t="shared" si="142"/>
        <v/>
      </c>
      <c r="P127" s="95" t="str">
        <f t="shared" si="143"/>
        <v/>
      </c>
      <c r="Q127" s="98" t="str">
        <f t="shared" si="144"/>
        <v/>
      </c>
      <c r="R127" s="99"/>
    </row>
    <row r="128" spans="1:18" x14ac:dyDescent="0.3">
      <c r="A128" s="86" t="str">
        <f>IF(TRIM(H128)&lt;&gt;"",COUNTA(H$9:$H128)&amp;"","")</f>
        <v>53</v>
      </c>
      <c r="B128" s="87"/>
      <c r="C128" s="87"/>
      <c r="D128" s="88"/>
      <c r="E128" s="100" t="s">
        <v>512</v>
      </c>
      <c r="F128" s="90">
        <v>1</v>
      </c>
      <c r="H128" s="91" t="s">
        <v>218</v>
      </c>
      <c r="I128" s="92">
        <f t="shared" si="138"/>
        <v>0</v>
      </c>
      <c r="J128" s="93">
        <f t="shared" si="139"/>
        <v>1</v>
      </c>
      <c r="K128" s="94">
        <v>90</v>
      </c>
      <c r="L128" s="95">
        <f t="shared" si="140"/>
        <v>90</v>
      </c>
      <c r="M128" s="96">
        <f t="shared" si="141"/>
        <v>75</v>
      </c>
      <c r="N128" s="97">
        <v>1.5</v>
      </c>
      <c r="O128" s="97">
        <f t="shared" si="142"/>
        <v>1.5</v>
      </c>
      <c r="P128" s="95">
        <f t="shared" si="143"/>
        <v>112.5</v>
      </c>
      <c r="Q128" s="98">
        <f t="shared" si="144"/>
        <v>202.5</v>
      </c>
      <c r="R128" s="99"/>
    </row>
    <row r="129" spans="1:18" s="116" customFormat="1" ht="19.2" customHeight="1" x14ac:dyDescent="0.3">
      <c r="A129" s="86" t="str">
        <f>IF(TRIM(H129)&lt;&gt;"",COUNTA(H$9:$H129)&amp;"","")</f>
        <v/>
      </c>
      <c r="B129" s="115"/>
      <c r="C129" s="115"/>
      <c r="D129" s="88" t="s">
        <v>94</v>
      </c>
      <c r="E129" s="164" t="s">
        <v>93</v>
      </c>
      <c r="F129" s="90"/>
      <c r="H129" s="91"/>
      <c r="I129" s="92" t="str">
        <f t="shared" si="138"/>
        <v/>
      </c>
      <c r="J129" s="93" t="str">
        <f t="shared" si="139"/>
        <v/>
      </c>
      <c r="K129" s="94" t="s">
        <v>549</v>
      </c>
      <c r="L129" s="95" t="str">
        <f t="shared" si="140"/>
        <v/>
      </c>
      <c r="M129" s="96" t="str">
        <f t="shared" si="141"/>
        <v/>
      </c>
      <c r="N129" s="97" t="s">
        <v>549</v>
      </c>
      <c r="O129" s="97" t="str">
        <f t="shared" si="142"/>
        <v/>
      </c>
      <c r="P129" s="95" t="str">
        <f t="shared" si="143"/>
        <v/>
      </c>
      <c r="Q129" s="98" t="str">
        <f t="shared" si="144"/>
        <v/>
      </c>
      <c r="R129" s="99"/>
    </row>
    <row r="130" spans="1:18" ht="27.6" x14ac:dyDescent="0.3">
      <c r="A130" s="86" t="str">
        <f>IF(TRIM(H130)&lt;&gt;"",COUNTA(H$9:$H130)&amp;"","")</f>
        <v>54</v>
      </c>
      <c r="B130" s="87" t="s">
        <v>300</v>
      </c>
      <c r="C130" s="87" t="s">
        <v>463</v>
      </c>
      <c r="D130" s="88"/>
      <c r="E130" s="100" t="s">
        <v>462</v>
      </c>
      <c r="F130" s="90">
        <v>375</v>
      </c>
      <c r="H130" s="91" t="s">
        <v>210</v>
      </c>
      <c r="I130" s="92">
        <f t="shared" si="138"/>
        <v>0</v>
      </c>
      <c r="J130" s="93">
        <f t="shared" si="139"/>
        <v>375</v>
      </c>
      <c r="K130" s="94">
        <v>0.66</v>
      </c>
      <c r="L130" s="95">
        <f t="shared" si="140"/>
        <v>247.5</v>
      </c>
      <c r="M130" s="96">
        <f t="shared" si="141"/>
        <v>75</v>
      </c>
      <c r="N130" s="97">
        <v>1.1000000000000001E-2</v>
      </c>
      <c r="O130" s="97">
        <f t="shared" si="142"/>
        <v>4.125</v>
      </c>
      <c r="P130" s="95">
        <f t="shared" si="143"/>
        <v>309.375</v>
      </c>
      <c r="Q130" s="98">
        <f t="shared" si="144"/>
        <v>556.875</v>
      </c>
      <c r="R130" s="99"/>
    </row>
    <row r="131" spans="1:18" x14ac:dyDescent="0.3">
      <c r="A131" s="86" t="str">
        <f>IF(TRIM(H131)&lt;&gt;"",COUNTA(H$9:$H131)&amp;"","")</f>
        <v>55</v>
      </c>
      <c r="B131" s="87" t="s">
        <v>482</v>
      </c>
      <c r="C131" s="87"/>
      <c r="D131" s="87" t="s">
        <v>422</v>
      </c>
      <c r="E131" s="100" t="s">
        <v>484</v>
      </c>
      <c r="F131" s="90">
        <v>10</v>
      </c>
      <c r="H131" s="91" t="s">
        <v>210</v>
      </c>
      <c r="I131" s="92">
        <f t="shared" si="138"/>
        <v>0</v>
      </c>
      <c r="J131" s="93">
        <f t="shared" si="139"/>
        <v>10</v>
      </c>
      <c r="K131" s="94">
        <v>2.0999999999999996</v>
      </c>
      <c r="L131" s="95">
        <f t="shared" si="140"/>
        <v>20.999999999999996</v>
      </c>
      <c r="M131" s="96">
        <f t="shared" si="141"/>
        <v>75</v>
      </c>
      <c r="N131" s="97">
        <v>3.5000000000000003E-2</v>
      </c>
      <c r="O131" s="97">
        <f t="shared" si="142"/>
        <v>0.35000000000000003</v>
      </c>
      <c r="P131" s="95">
        <f t="shared" si="143"/>
        <v>26.250000000000004</v>
      </c>
      <c r="Q131" s="98">
        <f t="shared" si="144"/>
        <v>47.25</v>
      </c>
      <c r="R131" s="99"/>
    </row>
    <row r="132" spans="1:18" x14ac:dyDescent="0.3">
      <c r="A132" s="86" t="str">
        <f>IF(TRIM(H132)&lt;&gt;"",COUNTA(H$9:$H132)&amp;"","")</f>
        <v>56</v>
      </c>
      <c r="B132" s="87" t="s">
        <v>511</v>
      </c>
      <c r="C132" s="87"/>
      <c r="D132" s="88"/>
      <c r="E132" s="100" t="s">
        <v>510</v>
      </c>
      <c r="F132" s="90">
        <v>735</v>
      </c>
      <c r="G132" s="65">
        <f>205+530</f>
        <v>735</v>
      </c>
      <c r="H132" s="91" t="s">
        <v>210</v>
      </c>
      <c r="I132" s="92">
        <f t="shared" si="138"/>
        <v>0</v>
      </c>
      <c r="J132" s="93">
        <f t="shared" si="139"/>
        <v>735</v>
      </c>
      <c r="K132" s="94">
        <v>0.6</v>
      </c>
      <c r="L132" s="95">
        <f t="shared" si="140"/>
        <v>441</v>
      </c>
      <c r="M132" s="96">
        <f t="shared" si="141"/>
        <v>75</v>
      </c>
      <c r="N132" s="97">
        <v>0.01</v>
      </c>
      <c r="O132" s="97">
        <f t="shared" si="142"/>
        <v>7.3500000000000005</v>
      </c>
      <c r="P132" s="95">
        <f t="shared" si="143"/>
        <v>551.25</v>
      </c>
      <c r="Q132" s="98">
        <f t="shared" si="144"/>
        <v>992.25</v>
      </c>
      <c r="R132" s="99"/>
    </row>
    <row r="133" spans="1:18" ht="15" thickBot="1" x14ac:dyDescent="0.35">
      <c r="A133" s="86" t="str">
        <f>IF(TRIM(H133)&lt;&gt;"",COUNTA(H$9:$H133)&amp;"","")</f>
        <v/>
      </c>
      <c r="B133" s="101"/>
      <c r="C133" s="101"/>
      <c r="D133" s="88"/>
      <c r="E133" s="102"/>
      <c r="F133" s="90"/>
      <c r="H133" s="91"/>
      <c r="I133" s="92" t="str">
        <f t="shared" si="138"/>
        <v/>
      </c>
      <c r="J133" s="93" t="str">
        <f t="shared" si="139"/>
        <v/>
      </c>
      <c r="K133" s="94" t="str">
        <f t="shared" ref="K133" si="145">IF(F133=0,"",0)</f>
        <v/>
      </c>
      <c r="L133" s="95" t="str">
        <f t="shared" si="140"/>
        <v/>
      </c>
      <c r="M133" s="96" t="str">
        <f t="shared" si="141"/>
        <v/>
      </c>
      <c r="N133" s="97" t="str">
        <f t="shared" ref="N133" si="146">IF(F133=0,"",0)</f>
        <v/>
      </c>
      <c r="O133" s="97" t="str">
        <f t="shared" si="142"/>
        <v/>
      </c>
      <c r="P133" s="95" t="str">
        <f t="shared" si="143"/>
        <v/>
      </c>
      <c r="Q133" s="98" t="str">
        <f t="shared" si="144"/>
        <v/>
      </c>
      <c r="R133" s="99"/>
    </row>
    <row r="134" spans="1:18" s="114" customFormat="1" ht="16.2" thickBot="1" x14ac:dyDescent="0.35">
      <c r="A134" s="86" t="str">
        <f>IF(TRIM(H134)&lt;&gt;"",COUNTA(H$9:$H134)&amp;"","")</f>
        <v/>
      </c>
      <c r="B134" s="103"/>
      <c r="C134" s="103"/>
      <c r="D134" s="104"/>
      <c r="E134" s="105"/>
      <c r="F134" s="106"/>
      <c r="H134" s="107"/>
      <c r="I134" s="108" t="s">
        <v>12</v>
      </c>
      <c r="J134" s="109"/>
      <c r="K134" s="110">
        <f>SUM(L$114:L$133)</f>
        <v>2672.7799999999997</v>
      </c>
      <c r="L134" s="190" t="s">
        <v>13</v>
      </c>
      <c r="M134" s="191"/>
      <c r="N134" s="111">
        <f>SUM(P$114:P$133)</f>
        <v>8054.0999999999995</v>
      </c>
      <c r="O134" s="190" t="s">
        <v>42</v>
      </c>
      <c r="P134" s="191"/>
      <c r="Q134" s="112">
        <f>SUM(O$114:O$133)</f>
        <v>107.38800000000001</v>
      </c>
      <c r="R134" s="113">
        <f>SUM(Q$114:Q$133)</f>
        <v>10726.880000000001</v>
      </c>
    </row>
    <row r="135" spans="1:18" s="171" customFormat="1" ht="20.100000000000001" customHeight="1" x14ac:dyDescent="0.3">
      <c r="A135" s="167" t="str">
        <f>IF(TRIM(H135)&lt;&gt;"",COUNTA(H$9:$H135)&amp;"","")</f>
        <v/>
      </c>
      <c r="B135" s="168"/>
      <c r="C135" s="168"/>
      <c r="D135" s="169" t="s">
        <v>46</v>
      </c>
      <c r="E135" s="169" t="s">
        <v>95</v>
      </c>
      <c r="F135" s="170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72"/>
    </row>
    <row r="136" spans="1:18" s="116" customFormat="1" ht="19.2" customHeight="1" x14ac:dyDescent="0.3">
      <c r="A136" s="86" t="str">
        <f>IF(TRIM(H136)&lt;&gt;"",COUNTA(H$9:$H136)&amp;"","")</f>
        <v/>
      </c>
      <c r="B136" s="115"/>
      <c r="C136" s="115"/>
      <c r="D136" s="88" t="s">
        <v>97</v>
      </c>
      <c r="E136" s="164" t="s">
        <v>96</v>
      </c>
      <c r="F136" s="90"/>
      <c r="H136" s="91"/>
      <c r="I136" s="92" t="str">
        <f t="shared" ref="I136:I154" si="147">IF(F136=0,"",0)</f>
        <v/>
      </c>
      <c r="J136" s="93" t="str">
        <f t="shared" ref="J136:J154" si="148">IF(F136=0,"",F136+(F136*I136))</f>
        <v/>
      </c>
      <c r="K136" s="94" t="str">
        <f t="shared" ref="K136" si="149">IF(F136=0,"",0)</f>
        <v/>
      </c>
      <c r="L136" s="95" t="str">
        <f t="shared" ref="L136:L154" si="150">IF(F136=0,"",K136*J136)</f>
        <v/>
      </c>
      <c r="M136" s="96" t="str">
        <f t="shared" ref="M136:M154" si="151">IF(F136=0,"",M$7)</f>
        <v/>
      </c>
      <c r="N136" s="97" t="str">
        <f t="shared" ref="N136" si="152">IF(F136=0,"",0)</f>
        <v/>
      </c>
      <c r="O136" s="97" t="str">
        <f t="shared" ref="O136:O154" si="153">IF(F136=0,"",N136*J136)</f>
        <v/>
      </c>
      <c r="P136" s="95" t="str">
        <f t="shared" ref="P136:P154" si="154">IF(F136=0,"",O136*M136)</f>
        <v/>
      </c>
      <c r="Q136" s="98" t="str">
        <f t="shared" ref="Q136:Q154" si="155">IF(F136=0,"",L136+P136)</f>
        <v/>
      </c>
      <c r="R136" s="99"/>
    </row>
    <row r="137" spans="1:18" x14ac:dyDescent="0.3">
      <c r="A137" s="86" t="str">
        <f>IF(TRIM(H137)&lt;&gt;"",COUNTA(H$9:$H137)&amp;"","")</f>
        <v>57</v>
      </c>
      <c r="B137" s="241" t="s">
        <v>427</v>
      </c>
      <c r="C137" s="241" t="s">
        <v>428</v>
      </c>
      <c r="D137" s="259"/>
      <c r="E137" s="89" t="s">
        <v>432</v>
      </c>
      <c r="F137" s="90">
        <v>4</v>
      </c>
      <c r="H137" s="91" t="s">
        <v>239</v>
      </c>
      <c r="I137" s="92">
        <f t="shared" si="147"/>
        <v>0</v>
      </c>
      <c r="J137" s="93">
        <f t="shared" si="148"/>
        <v>4</v>
      </c>
      <c r="K137" s="94">
        <v>752.25</v>
      </c>
      <c r="L137" s="95">
        <f t="shared" si="150"/>
        <v>3009</v>
      </c>
      <c r="M137" s="96">
        <f t="shared" si="151"/>
        <v>75</v>
      </c>
      <c r="N137" s="97">
        <v>3.3187500000000001</v>
      </c>
      <c r="O137" s="97">
        <f t="shared" si="153"/>
        <v>13.275</v>
      </c>
      <c r="P137" s="95">
        <f t="shared" si="154"/>
        <v>995.625</v>
      </c>
      <c r="Q137" s="98">
        <f t="shared" si="155"/>
        <v>4004.625</v>
      </c>
      <c r="R137" s="99"/>
    </row>
    <row r="138" spans="1:18" x14ac:dyDescent="0.3">
      <c r="A138" s="86" t="str">
        <f>IF(TRIM(H138)&lt;&gt;"",COUNTA(H$9:$H138)&amp;"","")</f>
        <v>58</v>
      </c>
      <c r="B138" s="242"/>
      <c r="C138" s="242"/>
      <c r="D138" s="260"/>
      <c r="E138" s="89" t="s">
        <v>430</v>
      </c>
      <c r="F138" s="90">
        <v>2</v>
      </c>
      <c r="H138" s="91" t="s">
        <v>239</v>
      </c>
      <c r="I138" s="92">
        <f t="shared" si="147"/>
        <v>0</v>
      </c>
      <c r="J138" s="93">
        <f t="shared" si="148"/>
        <v>2</v>
      </c>
      <c r="K138" s="94">
        <v>731</v>
      </c>
      <c r="L138" s="95">
        <f t="shared" si="150"/>
        <v>1462</v>
      </c>
      <c r="M138" s="96">
        <f t="shared" si="151"/>
        <v>75</v>
      </c>
      <c r="N138" s="97">
        <v>3.2250000000000001</v>
      </c>
      <c r="O138" s="97">
        <f t="shared" si="153"/>
        <v>6.45</v>
      </c>
      <c r="P138" s="95">
        <f t="shared" si="154"/>
        <v>483.75</v>
      </c>
      <c r="Q138" s="98">
        <f t="shared" si="155"/>
        <v>1945.75</v>
      </c>
      <c r="R138" s="99"/>
    </row>
    <row r="139" spans="1:18" x14ac:dyDescent="0.3">
      <c r="A139" s="86" t="str">
        <f>IF(TRIM(H139)&lt;&gt;"",COUNTA(H$9:$H139)&amp;"","")</f>
        <v>59</v>
      </c>
      <c r="B139" s="243"/>
      <c r="C139" s="243"/>
      <c r="D139" s="261"/>
      <c r="E139" s="89" t="s">
        <v>431</v>
      </c>
      <c r="F139" s="90">
        <v>2</v>
      </c>
      <c r="H139" s="91" t="s">
        <v>239</v>
      </c>
      <c r="I139" s="92">
        <f t="shared" si="147"/>
        <v>0</v>
      </c>
      <c r="J139" s="93">
        <f t="shared" si="148"/>
        <v>2</v>
      </c>
      <c r="K139" s="94">
        <v>773.71249999999998</v>
      </c>
      <c r="L139" s="95">
        <f t="shared" si="150"/>
        <v>1547.425</v>
      </c>
      <c r="M139" s="96">
        <f t="shared" si="151"/>
        <v>75</v>
      </c>
      <c r="N139" s="97">
        <v>3.4134374999999997</v>
      </c>
      <c r="O139" s="97">
        <f t="shared" si="153"/>
        <v>6.8268749999999994</v>
      </c>
      <c r="P139" s="95">
        <f t="shared" si="154"/>
        <v>512.015625</v>
      </c>
      <c r="Q139" s="98">
        <f t="shared" si="155"/>
        <v>2059.4406250000002</v>
      </c>
      <c r="R139" s="99"/>
    </row>
    <row r="140" spans="1:18" s="116" customFormat="1" ht="19.2" customHeight="1" x14ac:dyDescent="0.3">
      <c r="A140" s="86" t="str">
        <f>IF(TRIM(H140)&lt;&gt;"",COUNTA(H$9:$H140)&amp;"","")</f>
        <v/>
      </c>
      <c r="B140" s="115"/>
      <c r="C140" s="115"/>
      <c r="D140" s="88" t="s">
        <v>99</v>
      </c>
      <c r="E140" s="164" t="s">
        <v>98</v>
      </c>
      <c r="F140" s="90"/>
      <c r="H140" s="91"/>
      <c r="I140" s="92" t="str">
        <f t="shared" si="147"/>
        <v/>
      </c>
      <c r="J140" s="93" t="str">
        <f t="shared" si="148"/>
        <v/>
      </c>
      <c r="K140" s="94" t="s">
        <v>549</v>
      </c>
      <c r="L140" s="95" t="str">
        <f t="shared" si="150"/>
        <v/>
      </c>
      <c r="M140" s="96" t="str">
        <f t="shared" si="151"/>
        <v/>
      </c>
      <c r="N140" s="97" t="s">
        <v>549</v>
      </c>
      <c r="O140" s="97" t="str">
        <f t="shared" si="153"/>
        <v/>
      </c>
      <c r="P140" s="95" t="str">
        <f t="shared" si="154"/>
        <v/>
      </c>
      <c r="Q140" s="98" t="str">
        <f t="shared" si="155"/>
        <v/>
      </c>
      <c r="R140" s="99"/>
    </row>
    <row r="141" spans="1:18" x14ac:dyDescent="0.3">
      <c r="A141" s="86" t="str">
        <f>IF(TRIM(H141)&lt;&gt;"",COUNTA(H$9:$H141)&amp;"","")</f>
        <v>60</v>
      </c>
      <c r="B141" s="241" t="s">
        <v>427</v>
      </c>
      <c r="C141" s="241" t="s">
        <v>428</v>
      </c>
      <c r="D141" s="259"/>
      <c r="E141" s="100" t="s">
        <v>426</v>
      </c>
      <c r="F141" s="90">
        <v>1</v>
      </c>
      <c r="H141" s="91" t="s">
        <v>239</v>
      </c>
      <c r="I141" s="92">
        <f t="shared" si="147"/>
        <v>0</v>
      </c>
      <c r="J141" s="93">
        <f t="shared" si="148"/>
        <v>1</v>
      </c>
      <c r="K141" s="94">
        <v>739.5</v>
      </c>
      <c r="L141" s="95">
        <f t="shared" si="150"/>
        <v>739.5</v>
      </c>
      <c r="M141" s="96">
        <f t="shared" si="151"/>
        <v>75</v>
      </c>
      <c r="N141" s="97">
        <v>3.2625000000000002</v>
      </c>
      <c r="O141" s="97">
        <f t="shared" si="153"/>
        <v>3.2625000000000002</v>
      </c>
      <c r="P141" s="95">
        <f t="shared" si="154"/>
        <v>244.6875</v>
      </c>
      <c r="Q141" s="98">
        <f t="shared" si="155"/>
        <v>984.1875</v>
      </c>
      <c r="R141" s="99"/>
    </row>
    <row r="142" spans="1:18" x14ac:dyDescent="0.3">
      <c r="A142" s="86" t="str">
        <f>IF(TRIM(H142)&lt;&gt;"",COUNTA(H$9:$H142)&amp;"","")</f>
        <v>61</v>
      </c>
      <c r="B142" s="242"/>
      <c r="C142" s="242"/>
      <c r="D142" s="260"/>
      <c r="E142" s="100" t="s">
        <v>433</v>
      </c>
      <c r="F142" s="90">
        <v>1</v>
      </c>
      <c r="H142" s="91" t="s">
        <v>239</v>
      </c>
      <c r="I142" s="92">
        <f t="shared" si="147"/>
        <v>0</v>
      </c>
      <c r="J142" s="93">
        <f t="shared" si="148"/>
        <v>1</v>
      </c>
      <c r="K142" s="94">
        <v>760.75</v>
      </c>
      <c r="L142" s="95">
        <f t="shared" si="150"/>
        <v>760.75</v>
      </c>
      <c r="M142" s="96">
        <f t="shared" si="151"/>
        <v>75</v>
      </c>
      <c r="N142" s="97">
        <v>3.3562500000000002</v>
      </c>
      <c r="O142" s="97">
        <f t="shared" si="153"/>
        <v>3.3562500000000002</v>
      </c>
      <c r="P142" s="95">
        <f t="shared" si="154"/>
        <v>251.71875</v>
      </c>
      <c r="Q142" s="98">
        <f t="shared" si="155"/>
        <v>1012.46875</v>
      </c>
      <c r="R142" s="99"/>
    </row>
    <row r="143" spans="1:18" x14ac:dyDescent="0.3">
      <c r="A143" s="86" t="str">
        <f>IF(TRIM(H143)&lt;&gt;"",COUNTA(H$9:$H143)&amp;"","")</f>
        <v>62</v>
      </c>
      <c r="B143" s="242"/>
      <c r="C143" s="242"/>
      <c r="D143" s="260"/>
      <c r="E143" s="100" t="s">
        <v>434</v>
      </c>
      <c r="F143" s="90">
        <v>14</v>
      </c>
      <c r="H143" s="91" t="s">
        <v>239</v>
      </c>
      <c r="I143" s="92">
        <f t="shared" si="147"/>
        <v>0</v>
      </c>
      <c r="J143" s="93">
        <f t="shared" si="148"/>
        <v>14</v>
      </c>
      <c r="K143" s="94">
        <v>701.25</v>
      </c>
      <c r="L143" s="95">
        <f t="shared" si="150"/>
        <v>9817.5</v>
      </c>
      <c r="M143" s="96">
        <f t="shared" si="151"/>
        <v>75</v>
      </c>
      <c r="N143" s="97">
        <v>3.09375</v>
      </c>
      <c r="O143" s="97">
        <f t="shared" si="153"/>
        <v>43.3125</v>
      </c>
      <c r="P143" s="95">
        <f t="shared" si="154"/>
        <v>3248.4375</v>
      </c>
      <c r="Q143" s="98">
        <f t="shared" si="155"/>
        <v>13065.9375</v>
      </c>
      <c r="R143" s="99"/>
    </row>
    <row r="144" spans="1:18" x14ac:dyDescent="0.3">
      <c r="A144" s="86" t="str">
        <f>IF(TRIM(H144)&lt;&gt;"",COUNTA(H$9:$H144)&amp;"","")</f>
        <v>63</v>
      </c>
      <c r="B144" s="243"/>
      <c r="C144" s="243"/>
      <c r="D144" s="261"/>
      <c r="E144" s="100" t="s">
        <v>429</v>
      </c>
      <c r="F144" s="90">
        <v>2</v>
      </c>
      <c r="H144" s="91" t="s">
        <v>239</v>
      </c>
      <c r="I144" s="92">
        <f t="shared" si="147"/>
        <v>0</v>
      </c>
      <c r="J144" s="93">
        <f t="shared" si="148"/>
        <v>2</v>
      </c>
      <c r="K144" s="94">
        <v>794.75</v>
      </c>
      <c r="L144" s="95">
        <f t="shared" si="150"/>
        <v>1589.5</v>
      </c>
      <c r="M144" s="96">
        <f t="shared" si="151"/>
        <v>75</v>
      </c>
      <c r="N144" s="97">
        <v>3.5062500000000001</v>
      </c>
      <c r="O144" s="97">
        <f t="shared" si="153"/>
        <v>7.0125000000000002</v>
      </c>
      <c r="P144" s="95">
        <f t="shared" si="154"/>
        <v>525.9375</v>
      </c>
      <c r="Q144" s="98">
        <f t="shared" si="155"/>
        <v>2115.4375</v>
      </c>
      <c r="R144" s="99"/>
    </row>
    <row r="145" spans="1:18" s="116" customFormat="1" ht="19.2" customHeight="1" x14ac:dyDescent="0.3">
      <c r="A145" s="86" t="str">
        <f>IF(TRIM(H145)&lt;&gt;"",COUNTA(H$9:$H145)&amp;"","")</f>
        <v/>
      </c>
      <c r="B145" s="115"/>
      <c r="C145" s="115"/>
      <c r="D145" s="88" t="s">
        <v>101</v>
      </c>
      <c r="E145" s="164" t="s">
        <v>100</v>
      </c>
      <c r="F145" s="90"/>
      <c r="H145" s="91"/>
      <c r="I145" s="92" t="str">
        <f t="shared" si="147"/>
        <v/>
      </c>
      <c r="J145" s="93" t="str">
        <f t="shared" si="148"/>
        <v/>
      </c>
      <c r="K145" s="94" t="s">
        <v>549</v>
      </c>
      <c r="L145" s="95" t="str">
        <f t="shared" si="150"/>
        <v/>
      </c>
      <c r="M145" s="96" t="str">
        <f t="shared" si="151"/>
        <v/>
      </c>
      <c r="N145" s="97" t="s">
        <v>549</v>
      </c>
      <c r="O145" s="97" t="str">
        <f t="shared" si="153"/>
        <v/>
      </c>
      <c r="P145" s="95" t="str">
        <f t="shared" si="154"/>
        <v/>
      </c>
      <c r="Q145" s="98" t="str">
        <f t="shared" si="155"/>
        <v/>
      </c>
      <c r="R145" s="99"/>
    </row>
    <row r="146" spans="1:18" ht="27.6" x14ac:dyDescent="0.3">
      <c r="A146" s="86" t="str">
        <f>IF(TRIM(H146)&lt;&gt;"",COUNTA(H$9:$H146)&amp;"","")</f>
        <v>64</v>
      </c>
      <c r="B146" s="87" t="s">
        <v>354</v>
      </c>
      <c r="C146" s="87"/>
      <c r="D146" s="87" t="s">
        <v>248</v>
      </c>
      <c r="E146" s="100" t="s">
        <v>435</v>
      </c>
      <c r="F146" s="90">
        <v>1</v>
      </c>
      <c r="H146" s="91" t="s">
        <v>239</v>
      </c>
      <c r="I146" s="92">
        <f t="shared" si="147"/>
        <v>0</v>
      </c>
      <c r="J146" s="93">
        <f t="shared" si="148"/>
        <v>1</v>
      </c>
      <c r="K146" s="94">
        <v>12823.524999999998</v>
      </c>
      <c r="L146" s="95">
        <f t="shared" si="150"/>
        <v>12823.524999999998</v>
      </c>
      <c r="M146" s="96">
        <f t="shared" si="151"/>
        <v>75</v>
      </c>
      <c r="N146" s="97">
        <v>56.574374999999989</v>
      </c>
      <c r="O146" s="97">
        <f t="shared" si="153"/>
        <v>56.574374999999989</v>
      </c>
      <c r="P146" s="95">
        <f t="shared" si="154"/>
        <v>4243.0781249999991</v>
      </c>
      <c r="Q146" s="98">
        <f t="shared" si="155"/>
        <v>17066.603124999998</v>
      </c>
      <c r="R146" s="99"/>
    </row>
    <row r="147" spans="1:18" ht="27.6" x14ac:dyDescent="0.3">
      <c r="A147" s="86" t="str">
        <f>IF(TRIM(H147)&lt;&gt;"",COUNTA(H$9:$H147)&amp;"","")</f>
        <v>65</v>
      </c>
      <c r="B147" s="87" t="s">
        <v>354</v>
      </c>
      <c r="C147" s="87"/>
      <c r="D147" s="87" t="s">
        <v>248</v>
      </c>
      <c r="E147" s="100" t="s">
        <v>436</v>
      </c>
      <c r="F147" s="90">
        <v>1</v>
      </c>
      <c r="H147" s="91" t="s">
        <v>239</v>
      </c>
      <c r="I147" s="92">
        <f t="shared" si="147"/>
        <v>0</v>
      </c>
      <c r="J147" s="93">
        <f t="shared" si="148"/>
        <v>1</v>
      </c>
      <c r="K147" s="94">
        <v>9551.0249999999978</v>
      </c>
      <c r="L147" s="95">
        <f t="shared" si="150"/>
        <v>9551.0249999999978</v>
      </c>
      <c r="M147" s="96">
        <f t="shared" si="151"/>
        <v>75</v>
      </c>
      <c r="N147" s="97">
        <v>42.136874999999989</v>
      </c>
      <c r="O147" s="97">
        <f t="shared" si="153"/>
        <v>42.136874999999989</v>
      </c>
      <c r="P147" s="95">
        <f t="shared" si="154"/>
        <v>3160.2656249999991</v>
      </c>
      <c r="Q147" s="98">
        <f t="shared" si="155"/>
        <v>12711.290624999998</v>
      </c>
      <c r="R147" s="99"/>
    </row>
    <row r="148" spans="1:18" x14ac:dyDescent="0.3">
      <c r="A148" s="86" t="str">
        <f>IF(TRIM(H148)&lt;&gt;"",COUNTA(H$9:$H148)&amp;"","")</f>
        <v>66</v>
      </c>
      <c r="B148" s="87" t="s">
        <v>354</v>
      </c>
      <c r="C148" s="87"/>
      <c r="D148" s="87" t="s">
        <v>248</v>
      </c>
      <c r="E148" s="100" t="s">
        <v>437</v>
      </c>
      <c r="F148" s="90">
        <v>1</v>
      </c>
      <c r="H148" s="91" t="s">
        <v>239</v>
      </c>
      <c r="I148" s="92">
        <f t="shared" si="147"/>
        <v>0</v>
      </c>
      <c r="J148" s="93">
        <f t="shared" si="148"/>
        <v>1</v>
      </c>
      <c r="K148" s="94">
        <v>13908.125</v>
      </c>
      <c r="L148" s="95">
        <f t="shared" si="150"/>
        <v>13908.125</v>
      </c>
      <c r="M148" s="96">
        <f t="shared" si="151"/>
        <v>75</v>
      </c>
      <c r="N148" s="97">
        <v>61.359375</v>
      </c>
      <c r="O148" s="97">
        <f t="shared" si="153"/>
        <v>61.359375</v>
      </c>
      <c r="P148" s="95">
        <f t="shared" si="154"/>
        <v>4601.953125</v>
      </c>
      <c r="Q148" s="98">
        <f t="shared" si="155"/>
        <v>18510.078125</v>
      </c>
      <c r="R148" s="99"/>
    </row>
    <row r="149" spans="1:18" x14ac:dyDescent="0.3">
      <c r="A149" s="86" t="str">
        <f>IF(TRIM(H149)&lt;&gt;"",COUNTA(H$9:$H149)&amp;"","")</f>
        <v>67</v>
      </c>
      <c r="B149" s="87" t="s">
        <v>354</v>
      </c>
      <c r="C149" s="87"/>
      <c r="D149" s="87" t="s">
        <v>439</v>
      </c>
      <c r="E149" s="100" t="s">
        <v>438</v>
      </c>
      <c r="F149" s="90">
        <v>1</v>
      </c>
      <c r="H149" s="91" t="s">
        <v>239</v>
      </c>
      <c r="I149" s="92">
        <f t="shared" si="147"/>
        <v>0</v>
      </c>
      <c r="J149" s="93">
        <f t="shared" si="148"/>
        <v>1</v>
      </c>
      <c r="K149" s="94">
        <v>2121.8001749999999</v>
      </c>
      <c r="L149" s="95">
        <f t="shared" si="150"/>
        <v>2121.8001749999999</v>
      </c>
      <c r="M149" s="96">
        <f t="shared" si="151"/>
        <v>75</v>
      </c>
      <c r="N149" s="97">
        <v>9.3608831249999991</v>
      </c>
      <c r="O149" s="97">
        <f t="shared" si="153"/>
        <v>9.3608831249999991</v>
      </c>
      <c r="P149" s="95">
        <f t="shared" si="154"/>
        <v>702.06623437499991</v>
      </c>
      <c r="Q149" s="98">
        <f t="shared" si="155"/>
        <v>2823.8664093749999</v>
      </c>
      <c r="R149" s="99"/>
    </row>
    <row r="150" spans="1:18" ht="27.6" x14ac:dyDescent="0.3">
      <c r="A150" s="86" t="str">
        <f>IF(TRIM(H150)&lt;&gt;"",COUNTA(H$9:$H150)&amp;"","")</f>
        <v>68</v>
      </c>
      <c r="B150" s="87" t="s">
        <v>354</v>
      </c>
      <c r="C150" s="87"/>
      <c r="D150" s="87" t="s">
        <v>439</v>
      </c>
      <c r="E150" s="100" t="s">
        <v>440</v>
      </c>
      <c r="F150" s="90">
        <v>1</v>
      </c>
      <c r="H150" s="91" t="s">
        <v>239</v>
      </c>
      <c r="I150" s="92">
        <f t="shared" si="147"/>
        <v>0</v>
      </c>
      <c r="J150" s="93">
        <f t="shared" si="148"/>
        <v>1</v>
      </c>
      <c r="K150" s="94">
        <v>5727.5248249999995</v>
      </c>
      <c r="L150" s="95">
        <f t="shared" si="150"/>
        <v>5727.5248249999995</v>
      </c>
      <c r="M150" s="96">
        <f t="shared" si="151"/>
        <v>75</v>
      </c>
      <c r="N150" s="97">
        <v>25.268491874999995</v>
      </c>
      <c r="O150" s="97">
        <f t="shared" si="153"/>
        <v>25.268491874999995</v>
      </c>
      <c r="P150" s="95">
        <f t="shared" si="154"/>
        <v>1895.1368906249995</v>
      </c>
      <c r="Q150" s="98">
        <f t="shared" si="155"/>
        <v>7622.6617156249995</v>
      </c>
      <c r="R150" s="99"/>
    </row>
    <row r="151" spans="1:18" ht="27.6" x14ac:dyDescent="0.3">
      <c r="A151" s="86" t="str">
        <f>IF(TRIM(H151)&lt;&gt;"",COUNTA(H$9:$H151)&amp;"","")</f>
        <v>69</v>
      </c>
      <c r="B151" s="87" t="s">
        <v>354</v>
      </c>
      <c r="C151" s="87"/>
      <c r="D151" s="87" t="s">
        <v>443</v>
      </c>
      <c r="E151" s="100" t="s">
        <v>441</v>
      </c>
      <c r="F151" s="90">
        <v>1</v>
      </c>
      <c r="H151" s="91" t="s">
        <v>239</v>
      </c>
      <c r="I151" s="92">
        <f t="shared" si="147"/>
        <v>0</v>
      </c>
      <c r="J151" s="93">
        <f t="shared" si="148"/>
        <v>1</v>
      </c>
      <c r="K151" s="94">
        <v>0</v>
      </c>
      <c r="L151" s="95">
        <f t="shared" si="150"/>
        <v>0</v>
      </c>
      <c r="M151" s="96">
        <f t="shared" si="151"/>
        <v>75</v>
      </c>
      <c r="N151" s="97">
        <v>23.091749999999998</v>
      </c>
      <c r="O151" s="97">
        <f t="shared" si="153"/>
        <v>23.091749999999998</v>
      </c>
      <c r="P151" s="95">
        <f t="shared" si="154"/>
        <v>1731.8812499999999</v>
      </c>
      <c r="Q151" s="98">
        <f t="shared" si="155"/>
        <v>1731.8812499999999</v>
      </c>
      <c r="R151" s="99"/>
    </row>
    <row r="152" spans="1:18" ht="27.6" x14ac:dyDescent="0.3">
      <c r="A152" s="86" t="str">
        <f>IF(TRIM(H152)&lt;&gt;"",COUNTA(H$9:$H152)&amp;"","")</f>
        <v>70</v>
      </c>
      <c r="B152" s="87" t="s">
        <v>354</v>
      </c>
      <c r="C152" s="87"/>
      <c r="D152" s="87" t="s">
        <v>442</v>
      </c>
      <c r="E152" s="100" t="s">
        <v>444</v>
      </c>
      <c r="F152" s="90">
        <v>1</v>
      </c>
      <c r="H152" s="91" t="s">
        <v>239</v>
      </c>
      <c r="I152" s="92">
        <f t="shared" ref="I152" si="156">IF(F152=0,"",0)</f>
        <v>0</v>
      </c>
      <c r="J152" s="93">
        <f t="shared" ref="J152" si="157">IF(F152=0,"",F152+(F152*I152))</f>
        <v>1</v>
      </c>
      <c r="K152" s="94">
        <v>0</v>
      </c>
      <c r="L152" s="95">
        <f t="shared" ref="L152" si="158">IF(F152=0,"",K152*J152)</f>
        <v>0</v>
      </c>
      <c r="M152" s="96">
        <f t="shared" ref="M152" si="159">IF(F152=0,"",M$7)</f>
        <v>75</v>
      </c>
      <c r="N152" s="97">
        <v>23.203125</v>
      </c>
      <c r="O152" s="97">
        <f t="shared" ref="O152" si="160">IF(F152=0,"",N152*J152)</f>
        <v>23.203125</v>
      </c>
      <c r="P152" s="95">
        <f t="shared" ref="P152" si="161">IF(F152=0,"",O152*M152)</f>
        <v>1740.234375</v>
      </c>
      <c r="Q152" s="98">
        <f t="shared" ref="Q152" si="162">IF(F152=0,"",L152+P152)</f>
        <v>1740.234375</v>
      </c>
      <c r="R152" s="99"/>
    </row>
    <row r="153" spans="1:18" s="116" customFormat="1" ht="19.2" customHeight="1" x14ac:dyDescent="0.3">
      <c r="A153" s="86" t="str">
        <f>IF(TRIM(H153)&lt;&gt;"",COUNTA(H$9:$H153)&amp;"","")</f>
        <v/>
      </c>
      <c r="B153" s="115"/>
      <c r="C153" s="115"/>
      <c r="D153" s="88"/>
      <c r="E153" s="164" t="s">
        <v>102</v>
      </c>
      <c r="F153" s="90"/>
      <c r="H153" s="91"/>
      <c r="I153" s="92" t="str">
        <f t="shared" si="147"/>
        <v/>
      </c>
      <c r="J153" s="93" t="str">
        <f t="shared" si="148"/>
        <v/>
      </c>
      <c r="K153" s="94" t="s">
        <v>549</v>
      </c>
      <c r="L153" s="95" t="str">
        <f t="shared" si="150"/>
        <v/>
      </c>
      <c r="M153" s="96" t="str">
        <f t="shared" si="151"/>
        <v/>
      </c>
      <c r="N153" s="97" t="s">
        <v>549</v>
      </c>
      <c r="O153" s="97" t="str">
        <f t="shared" si="153"/>
        <v/>
      </c>
      <c r="P153" s="95" t="str">
        <f t="shared" si="154"/>
        <v/>
      </c>
      <c r="Q153" s="98" t="str">
        <f t="shared" si="155"/>
        <v/>
      </c>
      <c r="R153" s="99"/>
    </row>
    <row r="154" spans="1:18" ht="41.4" x14ac:dyDescent="0.3">
      <c r="A154" s="86" t="str">
        <f>IF(TRIM(H154)&lt;&gt;"",COUNTA(H$9:$H154)&amp;"","")</f>
        <v>71</v>
      </c>
      <c r="B154" s="87" t="s">
        <v>354</v>
      </c>
      <c r="C154" s="87"/>
      <c r="D154" s="87" t="s">
        <v>460</v>
      </c>
      <c r="E154" s="100" t="s">
        <v>502</v>
      </c>
      <c r="F154" s="90">
        <v>1</v>
      </c>
      <c r="H154" s="91" t="s">
        <v>239</v>
      </c>
      <c r="I154" s="92">
        <f t="shared" si="147"/>
        <v>0</v>
      </c>
      <c r="J154" s="93">
        <f t="shared" si="148"/>
        <v>1</v>
      </c>
      <c r="K154" s="94">
        <v>531.56853749999993</v>
      </c>
      <c r="L154" s="95">
        <f t="shared" si="150"/>
        <v>531.56853749999993</v>
      </c>
      <c r="M154" s="96">
        <f t="shared" si="151"/>
        <v>75</v>
      </c>
      <c r="N154" s="97">
        <v>2.3451553124999998</v>
      </c>
      <c r="O154" s="97">
        <f t="shared" si="153"/>
        <v>2.3451553124999998</v>
      </c>
      <c r="P154" s="95">
        <f t="shared" si="154"/>
        <v>175.88664843749999</v>
      </c>
      <c r="Q154" s="98">
        <f t="shared" si="155"/>
        <v>707.45518593749989</v>
      </c>
      <c r="R154" s="99"/>
    </row>
    <row r="155" spans="1:18" s="116" customFormat="1" ht="19.2" customHeight="1" x14ac:dyDescent="0.3">
      <c r="A155" s="86" t="str">
        <f>IF(TRIM(H155)&lt;&gt;"",COUNTA(H$9:$H155)&amp;"","")</f>
        <v/>
      </c>
      <c r="B155" s="115"/>
      <c r="C155" s="115"/>
      <c r="D155" s="88" t="s">
        <v>104</v>
      </c>
      <c r="E155" s="164" t="s">
        <v>103</v>
      </c>
      <c r="F155" s="90"/>
      <c r="H155" s="91"/>
      <c r="I155" s="92" t="str">
        <f t="shared" ref="I155:I170" si="163">IF(F155=0,"",0)</f>
        <v/>
      </c>
      <c r="J155" s="93" t="str">
        <f t="shared" ref="J155:J170" si="164">IF(F155=0,"",F155+(F155*I155))</f>
        <v/>
      </c>
      <c r="K155" s="94" t="s">
        <v>549</v>
      </c>
      <c r="L155" s="95" t="str">
        <f t="shared" ref="L155:L170" si="165">IF(F155=0,"",K155*J155)</f>
        <v/>
      </c>
      <c r="M155" s="96" t="str">
        <f t="shared" ref="M155:M170" si="166">IF(F155=0,"",M$7)</f>
        <v/>
      </c>
      <c r="N155" s="97" t="s">
        <v>549</v>
      </c>
      <c r="O155" s="97" t="str">
        <f t="shared" ref="O155:O170" si="167">IF(F155=0,"",N155*J155)</f>
        <v/>
      </c>
      <c r="P155" s="95" t="str">
        <f t="shared" ref="P155:P170" si="168">IF(F155=0,"",O155*M155)</f>
        <v/>
      </c>
      <c r="Q155" s="98" t="str">
        <f t="shared" ref="Q155:Q170" si="169">IF(F155=0,"",L155+P155)</f>
        <v/>
      </c>
      <c r="R155" s="99"/>
    </row>
    <row r="156" spans="1:18" x14ac:dyDescent="0.3">
      <c r="A156" s="86" t="str">
        <f>IF(TRIM(H156)&lt;&gt;"",COUNTA(H$9:$H156)&amp;"","")</f>
        <v>72</v>
      </c>
      <c r="B156" s="87" t="s">
        <v>354</v>
      </c>
      <c r="C156" s="87" t="s">
        <v>338</v>
      </c>
      <c r="D156" s="87" t="s">
        <v>381</v>
      </c>
      <c r="E156" s="100" t="s">
        <v>380</v>
      </c>
      <c r="F156" s="90">
        <v>35</v>
      </c>
      <c r="H156" s="91" t="s">
        <v>210</v>
      </c>
      <c r="I156" s="92">
        <f t="shared" si="163"/>
        <v>0</v>
      </c>
      <c r="J156" s="93">
        <f t="shared" si="164"/>
        <v>35</v>
      </c>
      <c r="K156" s="94">
        <v>10.199999999999999</v>
      </c>
      <c r="L156" s="95">
        <f t="shared" si="165"/>
        <v>357</v>
      </c>
      <c r="M156" s="96">
        <f t="shared" si="166"/>
        <v>75</v>
      </c>
      <c r="N156" s="97">
        <v>4.4999999999999998E-2</v>
      </c>
      <c r="O156" s="97">
        <f t="shared" si="167"/>
        <v>1.575</v>
      </c>
      <c r="P156" s="95">
        <f t="shared" si="168"/>
        <v>118.125</v>
      </c>
      <c r="Q156" s="98">
        <f t="shared" si="169"/>
        <v>475.125</v>
      </c>
      <c r="R156" s="99"/>
    </row>
    <row r="157" spans="1:18" ht="96.6" x14ac:dyDescent="0.3">
      <c r="A157" s="86" t="str">
        <f>IF(TRIM(H157)&lt;&gt;"",COUNTA(H$9:$H157)&amp;"","")</f>
        <v>73</v>
      </c>
      <c r="B157" s="241" t="s">
        <v>427</v>
      </c>
      <c r="C157" s="241" t="s">
        <v>428</v>
      </c>
      <c r="D157" s="259"/>
      <c r="E157" s="100" t="s">
        <v>963</v>
      </c>
      <c r="F157" s="90">
        <v>2</v>
      </c>
      <c r="H157" s="91" t="s">
        <v>239</v>
      </c>
      <c r="I157" s="92">
        <f>IF(F157=0,"",0)</f>
        <v>0</v>
      </c>
      <c r="J157" s="93">
        <f>IF(F157=0,"",F157+(F157*I157))</f>
        <v>2</v>
      </c>
      <c r="K157" s="94">
        <v>352.75</v>
      </c>
      <c r="L157" s="95">
        <f>IF(F157=0,"",K157*J157)</f>
        <v>705.5</v>
      </c>
      <c r="M157" s="96">
        <f>IF(F157=0,"",M$7)</f>
        <v>75</v>
      </c>
      <c r="N157" s="97">
        <v>1.5562499999999999</v>
      </c>
      <c r="O157" s="97">
        <f>IF(F157=0,"",N157*J157)</f>
        <v>3.1124999999999998</v>
      </c>
      <c r="P157" s="95">
        <f>IF(F157=0,"",O157*M157)</f>
        <v>233.4375</v>
      </c>
      <c r="Q157" s="98">
        <f>IF(F157=0,"",L157+P157)</f>
        <v>938.9375</v>
      </c>
      <c r="R157" s="99"/>
    </row>
    <row r="158" spans="1:18" ht="82.8" x14ac:dyDescent="0.3">
      <c r="A158" s="86" t="str">
        <f>IF(TRIM(H158)&lt;&gt;"",COUNTA(H$9:$H158)&amp;"","")</f>
        <v>74</v>
      </c>
      <c r="B158" s="242"/>
      <c r="C158" s="242"/>
      <c r="D158" s="260"/>
      <c r="E158" s="100" t="s">
        <v>964</v>
      </c>
      <c r="F158" s="90">
        <v>1</v>
      </c>
      <c r="H158" s="91" t="s">
        <v>239</v>
      </c>
      <c r="I158" s="92">
        <f t="shared" ref="I158" si="170">IF(F158=0,"",0)</f>
        <v>0</v>
      </c>
      <c r="J158" s="93">
        <f t="shared" ref="J158" si="171">IF(F158=0,"",F158+(F158*I158))</f>
        <v>1</v>
      </c>
      <c r="K158" s="94">
        <v>354.45</v>
      </c>
      <c r="L158" s="95">
        <f t="shared" ref="L158" si="172">IF(F158=0,"",K158*J158)</f>
        <v>354.45</v>
      </c>
      <c r="M158" s="96">
        <f t="shared" ref="M158" si="173">IF(F158=0,"",M$7)</f>
        <v>75</v>
      </c>
      <c r="N158" s="97">
        <v>1.56375</v>
      </c>
      <c r="O158" s="97">
        <f t="shared" ref="O158" si="174">IF(F158=0,"",N158*J158)</f>
        <v>1.56375</v>
      </c>
      <c r="P158" s="95">
        <f t="shared" ref="P158" si="175">IF(F158=0,"",O158*M158)</f>
        <v>117.28125</v>
      </c>
      <c r="Q158" s="98">
        <f t="shared" ref="Q158" si="176">IF(F158=0,"",L158+P158)</f>
        <v>471.73124999999999</v>
      </c>
      <c r="R158" s="99"/>
    </row>
    <row r="159" spans="1:18" ht="82.8" x14ac:dyDescent="0.3">
      <c r="A159" s="86" t="str">
        <f>IF(TRIM(H159)&lt;&gt;"",COUNTA(H$9:$H159)&amp;"","")</f>
        <v>75</v>
      </c>
      <c r="B159" s="242"/>
      <c r="C159" s="242"/>
      <c r="D159" s="260"/>
      <c r="E159" s="100" t="s">
        <v>965</v>
      </c>
      <c r="F159" s="90">
        <v>4</v>
      </c>
      <c r="H159" s="91" t="s">
        <v>239</v>
      </c>
      <c r="I159" s="92">
        <f>IF(F159=0,"",0)</f>
        <v>0</v>
      </c>
      <c r="J159" s="93">
        <f>IF(F159=0,"",F159+(F159*I159))</f>
        <v>4</v>
      </c>
      <c r="K159" s="94">
        <v>345.95</v>
      </c>
      <c r="L159" s="95">
        <f>IF(F159=0,"",K159*J159)</f>
        <v>1383.8</v>
      </c>
      <c r="M159" s="96">
        <f>IF(F159=0,"",M$7)</f>
        <v>75</v>
      </c>
      <c r="N159" s="97">
        <v>1.5262499999999999</v>
      </c>
      <c r="O159" s="97">
        <f>IF(F159=0,"",N159*J159)</f>
        <v>6.1049999999999995</v>
      </c>
      <c r="P159" s="95">
        <f>IF(F159=0,"",O159*M159)</f>
        <v>457.87499999999994</v>
      </c>
      <c r="Q159" s="98">
        <f>IF(F159=0,"",L159+P159)</f>
        <v>1841.675</v>
      </c>
      <c r="R159" s="99"/>
    </row>
    <row r="160" spans="1:18" ht="110.4" x14ac:dyDescent="0.3">
      <c r="A160" s="86" t="str">
        <f>IF(TRIM(H160)&lt;&gt;"",COUNTA(H$9:$H160)&amp;"","")</f>
        <v>76</v>
      </c>
      <c r="B160" s="242"/>
      <c r="C160" s="242"/>
      <c r="D160" s="260"/>
      <c r="E160" s="100" t="s">
        <v>966</v>
      </c>
      <c r="F160" s="90">
        <v>2</v>
      </c>
      <c r="H160" s="91" t="s">
        <v>239</v>
      </c>
      <c r="I160" s="92">
        <f>IF(F160=0,"",0)</f>
        <v>0</v>
      </c>
      <c r="J160" s="93">
        <f>IF(F160=0,"",F160+(F160*I160))</f>
        <v>2</v>
      </c>
      <c r="K160" s="94">
        <v>361.25</v>
      </c>
      <c r="L160" s="95">
        <f>IF(F160=0,"",K160*J160)</f>
        <v>722.5</v>
      </c>
      <c r="M160" s="96">
        <f>IF(F160=0,"",M$7)</f>
        <v>75</v>
      </c>
      <c r="N160" s="97">
        <v>1.59375</v>
      </c>
      <c r="O160" s="97">
        <f>IF(F160=0,"",N160*J160)</f>
        <v>3.1875</v>
      </c>
      <c r="P160" s="95">
        <f>IF(F160=0,"",O160*M160)</f>
        <v>239.0625</v>
      </c>
      <c r="Q160" s="98">
        <f>IF(F160=0,"",L160+P160)</f>
        <v>961.5625</v>
      </c>
      <c r="R160" s="99"/>
    </row>
    <row r="161" spans="1:18" ht="82.8" x14ac:dyDescent="0.3">
      <c r="A161" s="86" t="str">
        <f>IF(TRIM(H161)&lt;&gt;"",COUNTA(H$9:$H161)&amp;"","")</f>
        <v>77</v>
      </c>
      <c r="B161" s="242"/>
      <c r="C161" s="242"/>
      <c r="D161" s="260"/>
      <c r="E161" s="100" t="s">
        <v>967</v>
      </c>
      <c r="F161" s="90">
        <v>1</v>
      </c>
      <c r="H161" s="91" t="s">
        <v>239</v>
      </c>
      <c r="I161" s="92">
        <f t="shared" si="163"/>
        <v>0</v>
      </c>
      <c r="J161" s="93">
        <f t="shared" si="164"/>
        <v>1</v>
      </c>
      <c r="K161" s="94">
        <v>318.75</v>
      </c>
      <c r="L161" s="95">
        <f t="shared" si="165"/>
        <v>318.75</v>
      </c>
      <c r="M161" s="96">
        <f t="shared" si="166"/>
        <v>75</v>
      </c>
      <c r="N161" s="97">
        <v>1.40625</v>
      </c>
      <c r="O161" s="97">
        <f t="shared" si="167"/>
        <v>1.40625</v>
      </c>
      <c r="P161" s="95">
        <f t="shared" si="168"/>
        <v>105.46875</v>
      </c>
      <c r="Q161" s="98">
        <f t="shared" si="169"/>
        <v>424.21875</v>
      </c>
      <c r="R161" s="99"/>
    </row>
    <row r="162" spans="1:18" ht="69" x14ac:dyDescent="0.3">
      <c r="A162" s="86" t="str">
        <f>IF(TRIM(H162)&lt;&gt;"",COUNTA(H$9:$H162)&amp;"","")</f>
        <v>78</v>
      </c>
      <c r="B162" s="242"/>
      <c r="C162" s="242"/>
      <c r="D162" s="260"/>
      <c r="E162" s="100" t="s">
        <v>968</v>
      </c>
      <c r="F162" s="90">
        <v>14</v>
      </c>
      <c r="H162" s="91" t="s">
        <v>239</v>
      </c>
      <c r="I162" s="92">
        <f t="shared" si="163"/>
        <v>0</v>
      </c>
      <c r="J162" s="93">
        <f t="shared" si="164"/>
        <v>14</v>
      </c>
      <c r="K162" s="94">
        <v>310.25</v>
      </c>
      <c r="L162" s="95">
        <f t="shared" si="165"/>
        <v>4343.5</v>
      </c>
      <c r="M162" s="96">
        <f t="shared" si="166"/>
        <v>75</v>
      </c>
      <c r="N162" s="97">
        <v>1.3687499999999999</v>
      </c>
      <c r="O162" s="97">
        <f t="shared" si="167"/>
        <v>19.162499999999998</v>
      </c>
      <c r="P162" s="95">
        <f t="shared" si="168"/>
        <v>1437.1874999999998</v>
      </c>
      <c r="Q162" s="98">
        <f t="shared" si="169"/>
        <v>5780.6875</v>
      </c>
      <c r="R162" s="99"/>
    </row>
    <row r="163" spans="1:18" ht="110.4" x14ac:dyDescent="0.3">
      <c r="A163" s="86" t="str">
        <f>IF(TRIM(H163)&lt;&gt;"",COUNTA(H$9:$H163)&amp;"","")</f>
        <v>79</v>
      </c>
      <c r="B163" s="242"/>
      <c r="C163" s="242"/>
      <c r="D163" s="260"/>
      <c r="E163" s="100" t="s">
        <v>969</v>
      </c>
      <c r="F163" s="90">
        <v>1</v>
      </c>
      <c r="H163" s="91" t="s">
        <v>239</v>
      </c>
      <c r="I163" s="92">
        <f t="shared" ref="I163:I166" si="177">IF(F163=0,"",0)</f>
        <v>0</v>
      </c>
      <c r="J163" s="93">
        <f t="shared" ref="J163:J166" si="178">IF(F163=0,"",F163+(F163*I163))</f>
        <v>1</v>
      </c>
      <c r="K163" s="94">
        <v>341.7</v>
      </c>
      <c r="L163" s="95">
        <f t="shared" ref="L163:L166" si="179">IF(F163=0,"",K163*J163)</f>
        <v>341.7</v>
      </c>
      <c r="M163" s="96">
        <f t="shared" ref="M163:M166" si="180">IF(F163=0,"",M$7)</f>
        <v>75</v>
      </c>
      <c r="N163" s="97">
        <v>1.5074999999999998</v>
      </c>
      <c r="O163" s="97">
        <f t="shared" ref="O163:O166" si="181">IF(F163=0,"",N163*J163)</f>
        <v>1.5074999999999998</v>
      </c>
      <c r="P163" s="95">
        <f t="shared" ref="P163:P166" si="182">IF(F163=0,"",O163*M163)</f>
        <v>113.06249999999999</v>
      </c>
      <c r="Q163" s="98">
        <f t="shared" ref="Q163:Q166" si="183">IF(F163=0,"",L163+P163)</f>
        <v>454.76249999999999</v>
      </c>
      <c r="R163" s="99"/>
    </row>
    <row r="164" spans="1:18" ht="124.2" x14ac:dyDescent="0.3">
      <c r="A164" s="86" t="str">
        <f>IF(TRIM(H164)&lt;&gt;"",COUNTA(H$9:$H164)&amp;"","")</f>
        <v>80</v>
      </c>
      <c r="B164" s="242"/>
      <c r="C164" s="242"/>
      <c r="D164" s="260"/>
      <c r="E164" s="100" t="s">
        <v>970</v>
      </c>
      <c r="F164" s="90">
        <v>1</v>
      </c>
      <c r="H164" s="91" t="s">
        <v>239</v>
      </c>
      <c r="I164" s="92">
        <f>IF(F164=0,"",0)</f>
        <v>0</v>
      </c>
      <c r="J164" s="93">
        <f>IF(F164=0,"",F164+(F164*I164))</f>
        <v>1</v>
      </c>
      <c r="K164" s="94">
        <v>332.35</v>
      </c>
      <c r="L164" s="95">
        <f>IF(F164=0,"",K164*J164)</f>
        <v>332.35</v>
      </c>
      <c r="M164" s="96">
        <f>IF(F164=0,"",M$7)</f>
        <v>75</v>
      </c>
      <c r="N164" s="97">
        <v>1.4662500000000001</v>
      </c>
      <c r="O164" s="97">
        <f>IF(F164=0,"",N164*J164)</f>
        <v>1.4662500000000001</v>
      </c>
      <c r="P164" s="95">
        <f>IF(F164=0,"",O164*M164)</f>
        <v>109.96875</v>
      </c>
      <c r="Q164" s="98">
        <f>IF(F164=0,"",L164+P164)</f>
        <v>442.31875000000002</v>
      </c>
      <c r="R164" s="99"/>
    </row>
    <row r="165" spans="1:18" ht="96.6" x14ac:dyDescent="0.3">
      <c r="A165" s="86" t="str">
        <f>IF(TRIM(H165)&lt;&gt;"",COUNTA(H$9:$H165)&amp;"","")</f>
        <v>81</v>
      </c>
      <c r="B165" s="242"/>
      <c r="C165" s="242"/>
      <c r="D165" s="260"/>
      <c r="E165" s="100" t="s">
        <v>971</v>
      </c>
      <c r="F165" s="90">
        <v>1</v>
      </c>
      <c r="H165" s="91" t="s">
        <v>239</v>
      </c>
      <c r="I165" s="92">
        <f>IF(F165=0,"",0)</f>
        <v>0</v>
      </c>
      <c r="J165" s="93">
        <f>IF(F165=0,"",F165+(F165*I165))</f>
        <v>1</v>
      </c>
      <c r="K165" s="94">
        <v>326.39999999999998</v>
      </c>
      <c r="L165" s="95">
        <f>IF(F165=0,"",K165*J165)</f>
        <v>326.39999999999998</v>
      </c>
      <c r="M165" s="96">
        <f>IF(F165=0,"",M$7)</f>
        <v>75</v>
      </c>
      <c r="N165" s="97">
        <v>1.44</v>
      </c>
      <c r="O165" s="97">
        <f>IF(F165=0,"",N165*J165)</f>
        <v>1.44</v>
      </c>
      <c r="P165" s="95">
        <f>IF(F165=0,"",O165*M165)</f>
        <v>108</v>
      </c>
      <c r="Q165" s="98">
        <f>IF(F165=0,"",L165+P165)</f>
        <v>434.4</v>
      </c>
      <c r="R165" s="99"/>
    </row>
    <row r="166" spans="1:18" ht="82.8" x14ac:dyDescent="0.3">
      <c r="A166" s="86" t="str">
        <f>IF(TRIM(H166)&lt;&gt;"",COUNTA(H$9:$H166)&amp;"","")</f>
        <v>82</v>
      </c>
      <c r="B166" s="243"/>
      <c r="C166" s="243"/>
      <c r="D166" s="261"/>
      <c r="E166" s="100" t="s">
        <v>972</v>
      </c>
      <c r="F166" s="90">
        <v>1</v>
      </c>
      <c r="H166" s="91" t="s">
        <v>239</v>
      </c>
      <c r="I166" s="92">
        <f t="shared" si="177"/>
        <v>0</v>
      </c>
      <c r="J166" s="93">
        <f t="shared" si="178"/>
        <v>1</v>
      </c>
      <c r="K166" s="94">
        <v>329.8</v>
      </c>
      <c r="L166" s="95">
        <f t="shared" si="179"/>
        <v>329.8</v>
      </c>
      <c r="M166" s="96">
        <f t="shared" si="180"/>
        <v>75</v>
      </c>
      <c r="N166" s="97">
        <v>1.4549999999999998</v>
      </c>
      <c r="O166" s="97">
        <f t="shared" si="181"/>
        <v>1.4549999999999998</v>
      </c>
      <c r="P166" s="95">
        <f t="shared" si="182"/>
        <v>109.12499999999999</v>
      </c>
      <c r="Q166" s="98">
        <f t="shared" si="183"/>
        <v>438.92500000000001</v>
      </c>
      <c r="R166" s="99"/>
    </row>
    <row r="167" spans="1:18" ht="27.6" x14ac:dyDescent="0.3">
      <c r="A167" s="86" t="str">
        <f>IF(TRIM(H167)&lt;&gt;"",COUNTA(H$9:$H167)&amp;"","")</f>
        <v>83</v>
      </c>
      <c r="B167" s="87" t="s">
        <v>354</v>
      </c>
      <c r="C167" s="87"/>
      <c r="D167" s="88"/>
      <c r="E167" s="100" t="s">
        <v>461</v>
      </c>
      <c r="F167" s="90">
        <v>1</v>
      </c>
      <c r="H167" s="91" t="s">
        <v>218</v>
      </c>
      <c r="I167" s="92">
        <f t="shared" si="163"/>
        <v>0</v>
      </c>
      <c r="J167" s="93">
        <f t="shared" si="164"/>
        <v>1</v>
      </c>
      <c r="K167" s="94">
        <v>425</v>
      </c>
      <c r="L167" s="95">
        <f t="shared" si="165"/>
        <v>425</v>
      </c>
      <c r="M167" s="96">
        <f t="shared" si="166"/>
        <v>75</v>
      </c>
      <c r="N167" s="97">
        <v>1.875</v>
      </c>
      <c r="O167" s="97">
        <f t="shared" si="167"/>
        <v>1.875</v>
      </c>
      <c r="P167" s="95">
        <f t="shared" si="168"/>
        <v>140.625</v>
      </c>
      <c r="Q167" s="98">
        <f t="shared" si="169"/>
        <v>565.625</v>
      </c>
      <c r="R167" s="99"/>
    </row>
    <row r="168" spans="1:18" s="116" customFormat="1" ht="19.2" customHeight="1" x14ac:dyDescent="0.3">
      <c r="A168" s="86" t="str">
        <f>IF(TRIM(H168)&lt;&gt;"",COUNTA(H$9:$H168)&amp;"","")</f>
        <v/>
      </c>
      <c r="B168" s="115"/>
      <c r="C168" s="115"/>
      <c r="D168" s="88" t="s">
        <v>106</v>
      </c>
      <c r="E168" s="164" t="s">
        <v>105</v>
      </c>
      <c r="F168" s="90"/>
      <c r="H168" s="91"/>
      <c r="I168" s="92" t="str">
        <f t="shared" si="163"/>
        <v/>
      </c>
      <c r="J168" s="93" t="str">
        <f t="shared" si="164"/>
        <v/>
      </c>
      <c r="K168" s="94" t="s">
        <v>549</v>
      </c>
      <c r="L168" s="95" t="str">
        <f t="shared" si="165"/>
        <v/>
      </c>
      <c r="M168" s="96" t="str">
        <f t="shared" si="166"/>
        <v/>
      </c>
      <c r="N168" s="97" t="s">
        <v>549</v>
      </c>
      <c r="O168" s="97" t="str">
        <f t="shared" si="167"/>
        <v/>
      </c>
      <c r="P168" s="95" t="str">
        <f t="shared" si="168"/>
        <v/>
      </c>
      <c r="Q168" s="98" t="str">
        <f t="shared" si="169"/>
        <v/>
      </c>
      <c r="R168" s="99"/>
    </row>
    <row r="169" spans="1:18" x14ac:dyDescent="0.3">
      <c r="A169" s="86" t="str">
        <f>IF(TRIM(H169)&lt;&gt;"",COUNTA(H$9:$H169)&amp;"","")</f>
        <v>84</v>
      </c>
      <c r="B169" s="87" t="s">
        <v>374</v>
      </c>
      <c r="C169" s="87"/>
      <c r="D169" s="88"/>
      <c r="E169" s="100" t="s">
        <v>406</v>
      </c>
      <c r="F169" s="90">
        <v>95</v>
      </c>
      <c r="H169" s="91" t="s">
        <v>184</v>
      </c>
      <c r="I169" s="92">
        <f t="shared" si="163"/>
        <v>0</v>
      </c>
      <c r="J169" s="93">
        <f t="shared" si="164"/>
        <v>95</v>
      </c>
      <c r="K169" s="94">
        <v>46.75</v>
      </c>
      <c r="L169" s="95">
        <f t="shared" si="165"/>
        <v>4441.25</v>
      </c>
      <c r="M169" s="96">
        <f t="shared" si="166"/>
        <v>75</v>
      </c>
      <c r="N169" s="97">
        <v>0.20624999999999999</v>
      </c>
      <c r="O169" s="97">
        <f t="shared" si="167"/>
        <v>19.59375</v>
      </c>
      <c r="P169" s="95">
        <f t="shared" si="168"/>
        <v>1469.53125</v>
      </c>
      <c r="Q169" s="98">
        <f t="shared" si="169"/>
        <v>5910.78125</v>
      </c>
      <c r="R169" s="99"/>
    </row>
    <row r="170" spans="1:18" ht="15" thickBot="1" x14ac:dyDescent="0.35">
      <c r="A170" s="86" t="str">
        <f>IF(TRIM(H170)&lt;&gt;"",COUNTA(H$9:$H170)&amp;"","")</f>
        <v/>
      </c>
      <c r="B170" s="101"/>
      <c r="C170" s="101"/>
      <c r="D170" s="88"/>
      <c r="E170" s="102"/>
      <c r="F170" s="90"/>
      <c r="H170" s="91"/>
      <c r="I170" s="92" t="str">
        <f t="shared" si="163"/>
        <v/>
      </c>
      <c r="J170" s="93" t="str">
        <f t="shared" si="164"/>
        <v/>
      </c>
      <c r="K170" s="94" t="str">
        <f t="shared" ref="K170" si="184">IF(F170=0,"",0)</f>
        <v/>
      </c>
      <c r="L170" s="95" t="str">
        <f t="shared" si="165"/>
        <v/>
      </c>
      <c r="M170" s="96" t="str">
        <f t="shared" si="166"/>
        <v/>
      </c>
      <c r="N170" s="97" t="str">
        <f t="shared" ref="N170" si="185">IF(F170=0,"",0)</f>
        <v/>
      </c>
      <c r="O170" s="97" t="str">
        <f t="shared" si="167"/>
        <v/>
      </c>
      <c r="P170" s="95" t="str">
        <f t="shared" si="168"/>
        <v/>
      </c>
      <c r="Q170" s="98" t="str">
        <f t="shared" si="169"/>
        <v/>
      </c>
      <c r="R170" s="99"/>
    </row>
    <row r="171" spans="1:18" s="114" customFormat="1" ht="16.2" thickBot="1" x14ac:dyDescent="0.35">
      <c r="A171" s="86" t="str">
        <f>IF(TRIM(H171)&lt;&gt;"",COUNTA(H$9:$H171)&amp;"","")</f>
        <v/>
      </c>
      <c r="B171" s="103"/>
      <c r="C171" s="103"/>
      <c r="D171" s="104"/>
      <c r="E171" s="105"/>
      <c r="F171" s="106"/>
      <c r="H171" s="107"/>
      <c r="I171" s="108" t="s">
        <v>12</v>
      </c>
      <c r="J171" s="109"/>
      <c r="K171" s="110">
        <f>SUM(L$135:L$170)</f>
        <v>77971.243537499991</v>
      </c>
      <c r="L171" s="190" t="s">
        <v>13</v>
      </c>
      <c r="M171" s="191"/>
      <c r="N171" s="111">
        <f>SUM(P$135:P$170)</f>
        <v>29271.424148437498</v>
      </c>
      <c r="O171" s="190" t="s">
        <v>42</v>
      </c>
      <c r="P171" s="191"/>
      <c r="Q171" s="112">
        <f>SUM(O$135:O$170)</f>
        <v>390.28565531250001</v>
      </c>
      <c r="R171" s="113">
        <f>SUM(Q$135:Q$170)</f>
        <v>107242.6676859375</v>
      </c>
    </row>
    <row r="172" spans="1:18" s="171" customFormat="1" ht="20.100000000000001" customHeight="1" x14ac:dyDescent="0.3">
      <c r="A172" s="167" t="str">
        <f>IF(TRIM(H172)&lt;&gt;"",COUNTA(H$9:$H172)&amp;"","")</f>
        <v/>
      </c>
      <c r="B172" s="168"/>
      <c r="C172" s="168"/>
      <c r="D172" s="169" t="s">
        <v>44</v>
      </c>
      <c r="E172" s="169" t="s">
        <v>107</v>
      </c>
      <c r="F172" s="170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72"/>
    </row>
    <row r="173" spans="1:18" s="116" customFormat="1" ht="19.2" customHeight="1" x14ac:dyDescent="0.3">
      <c r="A173" s="86" t="str">
        <f>IF(TRIM(H173)&lt;&gt;"",COUNTA(H$9:$H173)&amp;"","")</f>
        <v/>
      </c>
      <c r="B173" s="115"/>
      <c r="C173" s="115"/>
      <c r="D173" s="88" t="s">
        <v>109</v>
      </c>
      <c r="E173" s="164" t="s">
        <v>108</v>
      </c>
      <c r="F173" s="90"/>
      <c r="H173" s="91"/>
      <c r="I173" s="92" t="str">
        <f t="shared" ref="I173:I283" si="186">IF(F173=0,"",0)</f>
        <v/>
      </c>
      <c r="J173" s="93" t="str">
        <f t="shared" ref="J173:J283" si="187">IF(F173=0,"",F173+(F173*I173))</f>
        <v/>
      </c>
      <c r="K173" s="94" t="str">
        <f t="shared" ref="K173" si="188">IF(F173=0,"",0)</f>
        <v/>
      </c>
      <c r="L173" s="95" t="str">
        <f t="shared" ref="L173:L283" si="189">IF(F173=0,"",K173*J173)</f>
        <v/>
      </c>
      <c r="M173" s="96" t="str">
        <f t="shared" ref="M173:M283" si="190">IF(F173=0,"",M$7)</f>
        <v/>
      </c>
      <c r="N173" s="97" t="str">
        <f t="shared" ref="N173" si="191">IF(F173=0,"",0)</f>
        <v/>
      </c>
      <c r="O173" s="97" t="str">
        <f t="shared" ref="O173:O283" si="192">IF(F173=0,"",N173*J173)</f>
        <v/>
      </c>
      <c r="P173" s="95" t="str">
        <f t="shared" ref="P173:P283" si="193">IF(F173=0,"",O173*M173)</f>
        <v/>
      </c>
      <c r="Q173" s="98" t="str">
        <f t="shared" ref="Q173:Q283" si="194">IF(F173=0,"",L173+P173)</f>
        <v/>
      </c>
      <c r="R173" s="99"/>
    </row>
    <row r="174" spans="1:18" x14ac:dyDescent="0.3">
      <c r="A174" s="86" t="str">
        <f>IF(TRIM(H174)&lt;&gt;"",COUNTA(H$9:$H174)&amp;"","")</f>
        <v/>
      </c>
      <c r="B174" s="241" t="s">
        <v>300</v>
      </c>
      <c r="C174" s="262" t="s">
        <v>301</v>
      </c>
      <c r="D174" s="259"/>
      <c r="E174" s="158" t="s">
        <v>309</v>
      </c>
      <c r="F174" s="90"/>
      <c r="G174" s="65">
        <v>8</v>
      </c>
      <c r="H174" s="91"/>
      <c r="I174" s="92" t="str">
        <f t="shared" ref="I174:I188" si="195">IF(F174=0,"",0)</f>
        <v/>
      </c>
      <c r="J174" s="93" t="str">
        <f t="shared" ref="J174:J188" si="196">IF(F174=0,"",F174+(F174*I174))</f>
        <v/>
      </c>
      <c r="K174" s="94" t="str">
        <f t="shared" ref="K174" si="197">IF(F174=0,"",0)</f>
        <v/>
      </c>
      <c r="L174" s="95" t="str">
        <f t="shared" ref="L174:L188" si="198">IF(F174=0,"",K174*J174)</f>
        <v/>
      </c>
      <c r="M174" s="96" t="str">
        <f t="shared" ref="M174:M188" si="199">IF(F174=0,"",M$7)</f>
        <v/>
      </c>
      <c r="N174" s="97" t="str">
        <f t="shared" ref="N174" si="200">IF(F174=0,"",0)</f>
        <v/>
      </c>
      <c r="O174" s="97" t="str">
        <f t="shared" ref="O174:O188" si="201">IF(F174=0,"",N174*J174)</f>
        <v/>
      </c>
      <c r="P174" s="95" t="str">
        <f t="shared" ref="P174:P188" si="202">IF(F174=0,"",O174*M174)</f>
        <v/>
      </c>
      <c r="Q174" s="98" t="str">
        <f t="shared" ref="Q174:Q188" si="203">IF(F174=0,"",L174+P174)</f>
        <v/>
      </c>
      <c r="R174" s="99"/>
    </row>
    <row r="175" spans="1:18" x14ac:dyDescent="0.3">
      <c r="A175" s="86" t="str">
        <f>IF(TRIM(H175)&lt;&gt;"",COUNTA(H$9:$H175)&amp;"","")</f>
        <v>85</v>
      </c>
      <c r="B175" s="242"/>
      <c r="C175" s="263"/>
      <c r="D175" s="260"/>
      <c r="E175" s="89" t="s">
        <v>311</v>
      </c>
      <c r="F175" s="90">
        <v>16</v>
      </c>
      <c r="G175" s="65">
        <f>8*2</f>
        <v>16</v>
      </c>
      <c r="H175" s="91" t="s">
        <v>210</v>
      </c>
      <c r="I175" s="92">
        <f t="shared" si="195"/>
        <v>0</v>
      </c>
      <c r="J175" s="93">
        <f t="shared" si="196"/>
        <v>16</v>
      </c>
      <c r="K175" s="94">
        <v>1.92</v>
      </c>
      <c r="L175" s="95">
        <f t="shared" si="198"/>
        <v>30.72</v>
      </c>
      <c r="M175" s="96">
        <f t="shared" si="199"/>
        <v>75</v>
      </c>
      <c r="N175" s="97">
        <v>3.2000000000000008E-2</v>
      </c>
      <c r="O175" s="97">
        <f t="shared" si="201"/>
        <v>0.51200000000000012</v>
      </c>
      <c r="P175" s="95">
        <f t="shared" si="202"/>
        <v>38.400000000000006</v>
      </c>
      <c r="Q175" s="98">
        <f t="shared" si="203"/>
        <v>69.12</v>
      </c>
      <c r="R175" s="99"/>
    </row>
    <row r="176" spans="1:18" x14ac:dyDescent="0.3">
      <c r="A176" s="86" t="str">
        <f>IF(TRIM(H176)&lt;&gt;"",COUNTA(H$9:$H176)&amp;"","")</f>
        <v>86</v>
      </c>
      <c r="B176" s="242"/>
      <c r="C176" s="263"/>
      <c r="D176" s="260"/>
      <c r="E176" s="89" t="s">
        <v>312</v>
      </c>
      <c r="F176" s="90">
        <v>113</v>
      </c>
      <c r="G176" s="65">
        <f>8/1.33*18.75</f>
        <v>112.78195488721803</v>
      </c>
      <c r="H176" s="91" t="s">
        <v>210</v>
      </c>
      <c r="I176" s="92">
        <f t="shared" si="195"/>
        <v>0</v>
      </c>
      <c r="J176" s="93">
        <f t="shared" si="196"/>
        <v>113</v>
      </c>
      <c r="K176" s="94">
        <v>1.92</v>
      </c>
      <c r="L176" s="95">
        <f t="shared" si="198"/>
        <v>216.95999999999998</v>
      </c>
      <c r="M176" s="96">
        <f t="shared" si="199"/>
        <v>75</v>
      </c>
      <c r="N176" s="97">
        <v>3.2000000000000008E-2</v>
      </c>
      <c r="O176" s="97">
        <f t="shared" si="201"/>
        <v>3.616000000000001</v>
      </c>
      <c r="P176" s="95">
        <f t="shared" si="202"/>
        <v>271.2000000000001</v>
      </c>
      <c r="Q176" s="98">
        <f t="shared" si="203"/>
        <v>488.16000000000008</v>
      </c>
      <c r="R176" s="99"/>
    </row>
    <row r="177" spans="1:18" x14ac:dyDescent="0.3">
      <c r="A177" s="86" t="str">
        <f>IF(TRIM(H177)&lt;&gt;"",COUNTA(H$9:$H177)&amp;"","")</f>
        <v>87</v>
      </c>
      <c r="B177" s="242"/>
      <c r="C177" s="263"/>
      <c r="D177" s="260"/>
      <c r="E177" s="89" t="s">
        <v>307</v>
      </c>
      <c r="F177" s="90">
        <v>300</v>
      </c>
      <c r="G177" s="65">
        <f>8*18.75*2</f>
        <v>300</v>
      </c>
      <c r="H177" s="91" t="s">
        <v>184</v>
      </c>
      <c r="I177" s="92">
        <f t="shared" si="195"/>
        <v>0</v>
      </c>
      <c r="J177" s="93">
        <f t="shared" si="196"/>
        <v>300</v>
      </c>
      <c r="K177" s="94">
        <v>0.78</v>
      </c>
      <c r="L177" s="95">
        <f t="shared" si="198"/>
        <v>234</v>
      </c>
      <c r="M177" s="96">
        <f t="shared" si="199"/>
        <v>75</v>
      </c>
      <c r="N177" s="97">
        <v>1.3000000000000001E-2</v>
      </c>
      <c r="O177" s="97">
        <f t="shared" si="201"/>
        <v>3.9000000000000004</v>
      </c>
      <c r="P177" s="95">
        <f t="shared" si="202"/>
        <v>292.5</v>
      </c>
      <c r="Q177" s="98">
        <f t="shared" si="203"/>
        <v>526.5</v>
      </c>
      <c r="R177" s="99"/>
    </row>
    <row r="178" spans="1:18" x14ac:dyDescent="0.3">
      <c r="A178" s="86" t="str">
        <f>IF(TRIM(H178)&lt;&gt;"",COUNTA(H$9:$H178)&amp;"","")</f>
        <v>88</v>
      </c>
      <c r="B178" s="242"/>
      <c r="C178" s="263"/>
      <c r="D178" s="260"/>
      <c r="E178" s="89" t="s">
        <v>305</v>
      </c>
      <c r="F178" s="90">
        <v>151</v>
      </c>
      <c r="G178" s="65">
        <f>18.775*8</f>
        <v>150.19999999999999</v>
      </c>
      <c r="H178" s="91" t="s">
        <v>184</v>
      </c>
      <c r="I178" s="92">
        <f t="shared" si="195"/>
        <v>0</v>
      </c>
      <c r="J178" s="93">
        <f t="shared" si="196"/>
        <v>151</v>
      </c>
      <c r="K178" s="94">
        <v>1.68</v>
      </c>
      <c r="L178" s="95">
        <f t="shared" si="198"/>
        <v>253.67999999999998</v>
      </c>
      <c r="M178" s="96">
        <f t="shared" si="199"/>
        <v>75</v>
      </c>
      <c r="N178" s="97">
        <v>2.7999999999999997E-2</v>
      </c>
      <c r="O178" s="97">
        <f t="shared" si="201"/>
        <v>4.2279999999999998</v>
      </c>
      <c r="P178" s="95">
        <f t="shared" si="202"/>
        <v>317.09999999999997</v>
      </c>
      <c r="Q178" s="98">
        <f t="shared" si="203"/>
        <v>570.78</v>
      </c>
      <c r="R178" s="99"/>
    </row>
    <row r="179" spans="1:18" x14ac:dyDescent="0.3">
      <c r="A179" s="86" t="str">
        <f>IF(TRIM(H179)&lt;&gt;"",COUNTA(H$9:$H179)&amp;"","")</f>
        <v>89</v>
      </c>
      <c r="B179" s="242"/>
      <c r="C179" s="263"/>
      <c r="D179" s="260"/>
      <c r="E179" s="89" t="s">
        <v>306</v>
      </c>
      <c r="F179" s="90">
        <v>151</v>
      </c>
      <c r="G179" s="65">
        <f>18.775*8</f>
        <v>150.19999999999999</v>
      </c>
      <c r="H179" s="91" t="s">
        <v>184</v>
      </c>
      <c r="I179" s="92">
        <f t="shared" si="195"/>
        <v>0</v>
      </c>
      <c r="J179" s="93">
        <f t="shared" si="196"/>
        <v>151</v>
      </c>
      <c r="K179" s="94">
        <v>1.2</v>
      </c>
      <c r="L179" s="95">
        <f t="shared" si="198"/>
        <v>181.2</v>
      </c>
      <c r="M179" s="96">
        <f t="shared" si="199"/>
        <v>75</v>
      </c>
      <c r="N179" s="97">
        <v>0.02</v>
      </c>
      <c r="O179" s="97">
        <f t="shared" si="201"/>
        <v>3.02</v>
      </c>
      <c r="P179" s="95">
        <f t="shared" si="202"/>
        <v>226.5</v>
      </c>
      <c r="Q179" s="98">
        <f t="shared" si="203"/>
        <v>407.7</v>
      </c>
      <c r="R179" s="99"/>
    </row>
    <row r="180" spans="1:18" x14ac:dyDescent="0.3">
      <c r="A180" s="86" t="str">
        <f>IF(TRIM(H180)&lt;&gt;"",COUNTA(H$9:$H180)&amp;"","")</f>
        <v>90</v>
      </c>
      <c r="B180" s="242"/>
      <c r="C180" s="263"/>
      <c r="D180" s="260"/>
      <c r="E180" s="89" t="s">
        <v>308</v>
      </c>
      <c r="F180" s="90">
        <v>32</v>
      </c>
      <c r="G180" s="65">
        <f>8*4</f>
        <v>32</v>
      </c>
      <c r="H180" s="91" t="s">
        <v>210</v>
      </c>
      <c r="I180" s="92">
        <f t="shared" si="195"/>
        <v>0</v>
      </c>
      <c r="J180" s="93">
        <f t="shared" si="196"/>
        <v>32</v>
      </c>
      <c r="K180" s="94">
        <v>0.6</v>
      </c>
      <c r="L180" s="95">
        <f t="shared" si="198"/>
        <v>19.2</v>
      </c>
      <c r="M180" s="96">
        <f t="shared" si="199"/>
        <v>75</v>
      </c>
      <c r="N180" s="97">
        <v>0.01</v>
      </c>
      <c r="O180" s="97">
        <f t="shared" si="201"/>
        <v>0.32</v>
      </c>
      <c r="P180" s="95">
        <f t="shared" si="202"/>
        <v>24</v>
      </c>
      <c r="Q180" s="98">
        <f t="shared" si="203"/>
        <v>43.2</v>
      </c>
      <c r="R180" s="99"/>
    </row>
    <row r="181" spans="1:18" x14ac:dyDescent="0.3">
      <c r="A181" s="86" t="str">
        <f>IF(TRIM(H181)&lt;&gt;"",COUNTA(H$9:$H181)&amp;"","")</f>
        <v/>
      </c>
      <c r="B181" s="242"/>
      <c r="C181" s="263"/>
      <c r="D181" s="260"/>
      <c r="E181" s="158" t="s">
        <v>302</v>
      </c>
      <c r="F181" s="90"/>
      <c r="G181" s="65">
        <f>83+10+10+24.5+16</f>
        <v>143.5</v>
      </c>
      <c r="H181" s="91"/>
      <c r="I181" s="92" t="str">
        <f t="shared" si="195"/>
        <v/>
      </c>
      <c r="J181" s="93" t="str">
        <f t="shared" si="196"/>
        <v/>
      </c>
      <c r="K181" s="94" t="s">
        <v>549</v>
      </c>
      <c r="L181" s="95" t="str">
        <f t="shared" si="198"/>
        <v/>
      </c>
      <c r="M181" s="96" t="str">
        <f t="shared" si="199"/>
        <v/>
      </c>
      <c r="N181" s="97" t="s">
        <v>549</v>
      </c>
      <c r="O181" s="97" t="str">
        <f t="shared" si="201"/>
        <v/>
      </c>
      <c r="P181" s="95" t="str">
        <f t="shared" si="202"/>
        <v/>
      </c>
      <c r="Q181" s="98" t="str">
        <f t="shared" si="203"/>
        <v/>
      </c>
      <c r="R181" s="99"/>
    </row>
    <row r="182" spans="1:18" x14ac:dyDescent="0.3">
      <c r="A182" s="86" t="str">
        <f>IF(TRIM(H182)&lt;&gt;"",COUNTA(H$9:$H182)&amp;"","")</f>
        <v>91</v>
      </c>
      <c r="B182" s="242"/>
      <c r="C182" s="263"/>
      <c r="D182" s="260"/>
      <c r="E182" s="89" t="s">
        <v>303</v>
      </c>
      <c r="F182" s="90">
        <v>287</v>
      </c>
      <c r="G182" s="65">
        <f>143.5*2</f>
        <v>287</v>
      </c>
      <c r="H182" s="91" t="s">
        <v>210</v>
      </c>
      <c r="I182" s="92">
        <f t="shared" si="195"/>
        <v>0</v>
      </c>
      <c r="J182" s="93">
        <f t="shared" si="196"/>
        <v>287</v>
      </c>
      <c r="K182" s="94">
        <v>2.52</v>
      </c>
      <c r="L182" s="95">
        <f t="shared" si="198"/>
        <v>723.24</v>
      </c>
      <c r="M182" s="96">
        <f t="shared" si="199"/>
        <v>75</v>
      </c>
      <c r="N182" s="97">
        <v>4.2000000000000003E-2</v>
      </c>
      <c r="O182" s="97">
        <f t="shared" si="201"/>
        <v>12.054</v>
      </c>
      <c r="P182" s="95">
        <f t="shared" si="202"/>
        <v>904.05000000000007</v>
      </c>
      <c r="Q182" s="98">
        <f t="shared" si="203"/>
        <v>1627.29</v>
      </c>
      <c r="R182" s="99"/>
    </row>
    <row r="183" spans="1:18" x14ac:dyDescent="0.3">
      <c r="A183" s="86" t="str">
        <f>IF(TRIM(H183)&lt;&gt;"",COUNTA(H$9:$H183)&amp;"","")</f>
        <v>92</v>
      </c>
      <c r="B183" s="242"/>
      <c r="C183" s="263"/>
      <c r="D183" s="260"/>
      <c r="E183" s="89" t="s">
        <v>304</v>
      </c>
      <c r="F183" s="90">
        <v>2107</v>
      </c>
      <c r="G183" s="65">
        <f>83/1.33*19.67+10/1.33*20.34+10/1.33*19.5+25/1.33*18.83+16/1.33*18.75</f>
        <v>2106.5864661654136</v>
      </c>
      <c r="H183" s="91" t="s">
        <v>210</v>
      </c>
      <c r="I183" s="92">
        <f t="shared" si="195"/>
        <v>0</v>
      </c>
      <c r="J183" s="93">
        <f t="shared" si="196"/>
        <v>2107</v>
      </c>
      <c r="K183" s="94">
        <v>2.52</v>
      </c>
      <c r="L183" s="95">
        <f t="shared" si="198"/>
        <v>5309.64</v>
      </c>
      <c r="M183" s="96">
        <f t="shared" si="199"/>
        <v>75</v>
      </c>
      <c r="N183" s="97">
        <v>4.2000000000000003E-2</v>
      </c>
      <c r="O183" s="97">
        <f t="shared" si="201"/>
        <v>88.494</v>
      </c>
      <c r="P183" s="95">
        <f t="shared" si="202"/>
        <v>6637.05</v>
      </c>
      <c r="Q183" s="98">
        <f t="shared" si="203"/>
        <v>11946.69</v>
      </c>
      <c r="R183" s="99"/>
    </row>
    <row r="184" spans="1:18" x14ac:dyDescent="0.3">
      <c r="A184" s="86" t="str">
        <f>IF(TRIM(H184)&lt;&gt;"",COUNTA(H$9:$H184)&amp;"","")</f>
        <v>93</v>
      </c>
      <c r="B184" s="242"/>
      <c r="C184" s="263"/>
      <c r="D184" s="260"/>
      <c r="E184" s="89" t="s">
        <v>307</v>
      </c>
      <c r="F184" s="90">
        <v>5604</v>
      </c>
      <c r="G184" s="65">
        <f>83*19.67*2+10*20.34*2+10*19.5*2+25*18.83*2+16*18.75*2</f>
        <v>5603.52</v>
      </c>
      <c r="H184" s="91" t="s">
        <v>184</v>
      </c>
      <c r="I184" s="92">
        <f t="shared" si="195"/>
        <v>0</v>
      </c>
      <c r="J184" s="93">
        <f t="shared" si="196"/>
        <v>5604</v>
      </c>
      <c r="K184" s="94">
        <v>0.78</v>
      </c>
      <c r="L184" s="95">
        <f t="shared" si="198"/>
        <v>4371.12</v>
      </c>
      <c r="M184" s="96">
        <f t="shared" si="199"/>
        <v>75</v>
      </c>
      <c r="N184" s="97">
        <v>1.3000000000000001E-2</v>
      </c>
      <c r="O184" s="97">
        <f t="shared" si="201"/>
        <v>72.852000000000004</v>
      </c>
      <c r="P184" s="95">
        <f t="shared" si="202"/>
        <v>5463.9000000000005</v>
      </c>
      <c r="Q184" s="98">
        <f t="shared" si="203"/>
        <v>9835.02</v>
      </c>
      <c r="R184" s="99"/>
    </row>
    <row r="185" spans="1:18" x14ac:dyDescent="0.3">
      <c r="A185" s="86" t="str">
        <f>IF(TRIM(H185)&lt;&gt;"",COUNTA(H$9:$H185)&amp;"","")</f>
        <v>94</v>
      </c>
      <c r="B185" s="242"/>
      <c r="C185" s="263"/>
      <c r="D185" s="260"/>
      <c r="E185" s="89" t="s">
        <v>404</v>
      </c>
      <c r="F185" s="90">
        <v>435</v>
      </c>
      <c r="G185" s="65">
        <f>108*4</f>
        <v>432</v>
      </c>
      <c r="H185" s="91" t="s">
        <v>184</v>
      </c>
      <c r="I185" s="92">
        <f t="shared" si="195"/>
        <v>0</v>
      </c>
      <c r="J185" s="93">
        <f t="shared" si="196"/>
        <v>435</v>
      </c>
      <c r="K185" s="94">
        <v>1.74</v>
      </c>
      <c r="L185" s="95">
        <f t="shared" si="198"/>
        <v>756.9</v>
      </c>
      <c r="M185" s="96">
        <f t="shared" si="199"/>
        <v>75</v>
      </c>
      <c r="N185" s="97">
        <v>2.8999999999999998E-2</v>
      </c>
      <c r="O185" s="97">
        <f t="shared" si="201"/>
        <v>12.614999999999998</v>
      </c>
      <c r="P185" s="95">
        <f t="shared" si="202"/>
        <v>946.12499999999989</v>
      </c>
      <c r="Q185" s="98">
        <f t="shared" si="203"/>
        <v>1703.0249999999999</v>
      </c>
      <c r="R185" s="99"/>
    </row>
    <row r="186" spans="1:18" x14ac:dyDescent="0.3">
      <c r="A186" s="86" t="str">
        <f>IF(TRIM(H186)&lt;&gt;"",COUNTA(H$9:$H186)&amp;"","")</f>
        <v>95</v>
      </c>
      <c r="B186" s="242"/>
      <c r="C186" s="263"/>
      <c r="D186" s="260"/>
      <c r="E186" s="89" t="s">
        <v>305</v>
      </c>
      <c r="F186" s="90">
        <v>2802</v>
      </c>
      <c r="G186" s="65">
        <f>83*19.67+10*20.34+10*19.5+25*18.83+16*18.75</f>
        <v>2801.76</v>
      </c>
      <c r="H186" s="91" t="s">
        <v>184</v>
      </c>
      <c r="I186" s="92">
        <f t="shared" si="195"/>
        <v>0</v>
      </c>
      <c r="J186" s="93">
        <f t="shared" si="196"/>
        <v>2802</v>
      </c>
      <c r="K186" s="94">
        <v>1.68</v>
      </c>
      <c r="L186" s="95">
        <f t="shared" si="198"/>
        <v>4707.3599999999997</v>
      </c>
      <c r="M186" s="96">
        <f t="shared" si="199"/>
        <v>75</v>
      </c>
      <c r="N186" s="97">
        <v>2.7999999999999997E-2</v>
      </c>
      <c r="O186" s="97">
        <f t="shared" si="201"/>
        <v>78.455999999999989</v>
      </c>
      <c r="P186" s="95">
        <f t="shared" si="202"/>
        <v>5884.1999999999989</v>
      </c>
      <c r="Q186" s="98">
        <f t="shared" si="203"/>
        <v>10591.559999999998</v>
      </c>
      <c r="R186" s="99"/>
    </row>
    <row r="187" spans="1:18" x14ac:dyDescent="0.3">
      <c r="A187" s="86" t="str">
        <f>IF(TRIM(H187)&lt;&gt;"",COUNTA(H$9:$H187)&amp;"","")</f>
        <v>96</v>
      </c>
      <c r="B187" s="242"/>
      <c r="C187" s="263"/>
      <c r="D187" s="260"/>
      <c r="E187" s="89" t="s">
        <v>306</v>
      </c>
      <c r="F187" s="90">
        <v>2802</v>
      </c>
      <c r="G187" s="65">
        <f>83*19.67+10*20.34+10*19.5+25*18.83+16*18.75</f>
        <v>2801.76</v>
      </c>
      <c r="H187" s="91" t="s">
        <v>184</v>
      </c>
      <c r="I187" s="92">
        <f t="shared" si="195"/>
        <v>0</v>
      </c>
      <c r="J187" s="93">
        <f t="shared" si="196"/>
        <v>2802</v>
      </c>
      <c r="K187" s="94">
        <v>1.2</v>
      </c>
      <c r="L187" s="95">
        <f t="shared" si="198"/>
        <v>3362.4</v>
      </c>
      <c r="M187" s="96">
        <f t="shared" si="199"/>
        <v>75</v>
      </c>
      <c r="N187" s="97">
        <v>0.02</v>
      </c>
      <c r="O187" s="97">
        <f t="shared" si="201"/>
        <v>56.04</v>
      </c>
      <c r="P187" s="95">
        <f t="shared" si="202"/>
        <v>4203</v>
      </c>
      <c r="Q187" s="98">
        <f t="shared" si="203"/>
        <v>7565.4</v>
      </c>
      <c r="R187" s="99"/>
    </row>
    <row r="188" spans="1:18" x14ac:dyDescent="0.3">
      <c r="A188" s="86" t="str">
        <f>IF(TRIM(H188)&lt;&gt;"",COUNTA(H$9:$H188)&amp;"","")</f>
        <v>97</v>
      </c>
      <c r="B188" s="242"/>
      <c r="C188" s="263"/>
      <c r="D188" s="260"/>
      <c r="E188" s="89" t="s">
        <v>308</v>
      </c>
      <c r="F188" s="90">
        <v>574</v>
      </c>
      <c r="G188" s="65">
        <f>143.5*4</f>
        <v>574</v>
      </c>
      <c r="H188" s="91" t="s">
        <v>210</v>
      </c>
      <c r="I188" s="92">
        <f t="shared" si="195"/>
        <v>0</v>
      </c>
      <c r="J188" s="93">
        <f t="shared" si="196"/>
        <v>574</v>
      </c>
      <c r="K188" s="94">
        <v>0.6</v>
      </c>
      <c r="L188" s="95">
        <f t="shared" si="198"/>
        <v>344.4</v>
      </c>
      <c r="M188" s="96">
        <f t="shared" si="199"/>
        <v>75</v>
      </c>
      <c r="N188" s="97">
        <v>0.01</v>
      </c>
      <c r="O188" s="97">
        <f t="shared" si="201"/>
        <v>5.74</v>
      </c>
      <c r="P188" s="95">
        <f t="shared" si="202"/>
        <v>430.5</v>
      </c>
      <c r="Q188" s="98">
        <f t="shared" si="203"/>
        <v>774.9</v>
      </c>
      <c r="R188" s="99"/>
    </row>
    <row r="189" spans="1:18" x14ac:dyDescent="0.3">
      <c r="A189" s="86" t="str">
        <f>IF(TRIM(H189)&lt;&gt;"",COUNTA(H$9:$H189)&amp;"","")</f>
        <v/>
      </c>
      <c r="B189" s="242"/>
      <c r="C189" s="263"/>
      <c r="D189" s="260"/>
      <c r="E189" s="158" t="s">
        <v>310</v>
      </c>
      <c r="F189" s="90"/>
      <c r="G189" s="65">
        <f>83+10+10+24.5+16</f>
        <v>143.5</v>
      </c>
      <c r="H189" s="91"/>
      <c r="I189" s="92" t="str">
        <f t="shared" si="186"/>
        <v/>
      </c>
      <c r="J189" s="93" t="str">
        <f t="shared" si="187"/>
        <v/>
      </c>
      <c r="K189" s="94" t="s">
        <v>549</v>
      </c>
      <c r="L189" s="95" t="str">
        <f t="shared" si="189"/>
        <v/>
      </c>
      <c r="M189" s="96" t="str">
        <f t="shared" si="190"/>
        <v/>
      </c>
      <c r="N189" s="97" t="s">
        <v>549</v>
      </c>
      <c r="O189" s="97" t="str">
        <f t="shared" si="192"/>
        <v/>
      </c>
      <c r="P189" s="95" t="str">
        <f t="shared" si="193"/>
        <v/>
      </c>
      <c r="Q189" s="98" t="str">
        <f t="shared" si="194"/>
        <v/>
      </c>
      <c r="R189" s="99"/>
    </row>
    <row r="190" spans="1:18" x14ac:dyDescent="0.3">
      <c r="A190" s="86" t="str">
        <f>IF(TRIM(H190)&lt;&gt;"",COUNTA(H$9:$H190)&amp;"","")</f>
        <v>98</v>
      </c>
      <c r="B190" s="242"/>
      <c r="C190" s="263"/>
      <c r="D190" s="260"/>
      <c r="E190" s="89" t="s">
        <v>311</v>
      </c>
      <c r="F190" s="90">
        <v>5</v>
      </c>
      <c r="G190" s="65">
        <f>2.5*2</f>
        <v>5</v>
      </c>
      <c r="H190" s="91" t="s">
        <v>210</v>
      </c>
      <c r="I190" s="92">
        <f t="shared" si="186"/>
        <v>0</v>
      </c>
      <c r="J190" s="93">
        <f t="shared" si="187"/>
        <v>5</v>
      </c>
      <c r="K190" s="94">
        <v>1.92</v>
      </c>
      <c r="L190" s="95">
        <f t="shared" si="189"/>
        <v>9.6</v>
      </c>
      <c r="M190" s="96">
        <f t="shared" si="190"/>
        <v>75</v>
      </c>
      <c r="N190" s="97">
        <v>3.2000000000000008E-2</v>
      </c>
      <c r="O190" s="97">
        <f t="shared" si="192"/>
        <v>0.16000000000000003</v>
      </c>
      <c r="P190" s="95">
        <f t="shared" si="193"/>
        <v>12.000000000000002</v>
      </c>
      <c r="Q190" s="98">
        <f t="shared" si="194"/>
        <v>21.6</v>
      </c>
      <c r="R190" s="99"/>
    </row>
    <row r="191" spans="1:18" x14ac:dyDescent="0.3">
      <c r="A191" s="86" t="str">
        <f>IF(TRIM(H191)&lt;&gt;"",COUNTA(H$9:$H191)&amp;"","")</f>
        <v>99</v>
      </c>
      <c r="B191" s="242"/>
      <c r="C191" s="263"/>
      <c r="D191" s="260"/>
      <c r="E191" s="89" t="s">
        <v>312</v>
      </c>
      <c r="F191" s="90">
        <v>35</v>
      </c>
      <c r="G191" s="65">
        <f>2.5/1.33*18.67</f>
        <v>35.093984962406019</v>
      </c>
      <c r="H191" s="91" t="s">
        <v>210</v>
      </c>
      <c r="I191" s="92">
        <f t="shared" si="186"/>
        <v>0</v>
      </c>
      <c r="J191" s="93">
        <f t="shared" si="187"/>
        <v>35</v>
      </c>
      <c r="K191" s="94">
        <v>1.92</v>
      </c>
      <c r="L191" s="95">
        <f t="shared" si="189"/>
        <v>67.2</v>
      </c>
      <c r="M191" s="96">
        <f t="shared" si="190"/>
        <v>75</v>
      </c>
      <c r="N191" s="97">
        <v>3.2000000000000008E-2</v>
      </c>
      <c r="O191" s="97">
        <f t="shared" si="192"/>
        <v>1.1200000000000003</v>
      </c>
      <c r="P191" s="95">
        <f t="shared" si="193"/>
        <v>84.000000000000028</v>
      </c>
      <c r="Q191" s="98">
        <f t="shared" si="194"/>
        <v>151.20000000000005</v>
      </c>
      <c r="R191" s="99"/>
    </row>
    <row r="192" spans="1:18" x14ac:dyDescent="0.3">
      <c r="A192" s="86" t="str">
        <f>IF(TRIM(H192)&lt;&gt;"",COUNTA(H$9:$H192)&amp;"","")</f>
        <v>100</v>
      </c>
      <c r="B192" s="242"/>
      <c r="C192" s="263"/>
      <c r="D192" s="260"/>
      <c r="E192" s="89" t="s">
        <v>307</v>
      </c>
      <c r="F192" s="90">
        <v>94</v>
      </c>
      <c r="G192" s="65">
        <f>2.5*18.67*2</f>
        <v>93.350000000000009</v>
      </c>
      <c r="H192" s="91" t="s">
        <v>184</v>
      </c>
      <c r="I192" s="92">
        <f t="shared" ref="I192" si="204">IF(F192=0,"",0)</f>
        <v>0</v>
      </c>
      <c r="J192" s="93">
        <f t="shared" ref="J192" si="205">IF(F192=0,"",F192+(F192*I192))</f>
        <v>94</v>
      </c>
      <c r="K192" s="94">
        <v>0.78</v>
      </c>
      <c r="L192" s="95">
        <f t="shared" ref="L192" si="206">IF(F192=0,"",K192*J192)</f>
        <v>73.320000000000007</v>
      </c>
      <c r="M192" s="96">
        <f t="shared" ref="M192" si="207">IF(F192=0,"",M$7)</f>
        <v>75</v>
      </c>
      <c r="N192" s="97">
        <v>1.3000000000000001E-2</v>
      </c>
      <c r="O192" s="97">
        <f t="shared" ref="O192" si="208">IF(F192=0,"",N192*J192)</f>
        <v>1.2220000000000002</v>
      </c>
      <c r="P192" s="95">
        <f t="shared" ref="P192" si="209">IF(F192=0,"",O192*M192)</f>
        <v>91.65000000000002</v>
      </c>
      <c r="Q192" s="98">
        <f t="shared" ref="Q192" si="210">IF(F192=0,"",L192+P192)</f>
        <v>164.97000000000003</v>
      </c>
      <c r="R192" s="99"/>
    </row>
    <row r="193" spans="1:18" x14ac:dyDescent="0.3">
      <c r="A193" s="86" t="str">
        <f>IF(TRIM(H193)&lt;&gt;"",COUNTA(H$9:$H193)&amp;"","")</f>
        <v>101</v>
      </c>
      <c r="B193" s="242"/>
      <c r="C193" s="263"/>
      <c r="D193" s="260"/>
      <c r="E193" s="89" t="s">
        <v>308</v>
      </c>
      <c r="F193" s="90">
        <v>10</v>
      </c>
      <c r="G193" s="65">
        <f>2.5*4</f>
        <v>10</v>
      </c>
      <c r="H193" s="91" t="s">
        <v>210</v>
      </c>
      <c r="I193" s="92">
        <f t="shared" si="186"/>
        <v>0</v>
      </c>
      <c r="J193" s="93">
        <f t="shared" si="187"/>
        <v>10</v>
      </c>
      <c r="K193" s="94">
        <v>0.6</v>
      </c>
      <c r="L193" s="95">
        <f t="shared" si="189"/>
        <v>6</v>
      </c>
      <c r="M193" s="96">
        <f t="shared" si="190"/>
        <v>75</v>
      </c>
      <c r="N193" s="97">
        <v>0.01</v>
      </c>
      <c r="O193" s="97">
        <f t="shared" si="192"/>
        <v>0.1</v>
      </c>
      <c r="P193" s="95">
        <f t="shared" si="193"/>
        <v>7.5</v>
      </c>
      <c r="Q193" s="98">
        <f t="shared" si="194"/>
        <v>13.5</v>
      </c>
      <c r="R193" s="99"/>
    </row>
    <row r="194" spans="1:18" x14ac:dyDescent="0.3">
      <c r="A194" s="86" t="str">
        <f>IF(TRIM(H194)&lt;&gt;"",COUNTA(H$9:$H194)&amp;"","")</f>
        <v/>
      </c>
      <c r="B194" s="242"/>
      <c r="C194" s="263"/>
      <c r="D194" s="260"/>
      <c r="E194" s="158" t="s">
        <v>313</v>
      </c>
      <c r="F194" s="90"/>
      <c r="G194" s="65">
        <f>24.5</f>
        <v>24.5</v>
      </c>
      <c r="H194" s="91"/>
      <c r="I194" s="92" t="str">
        <f t="shared" si="186"/>
        <v/>
      </c>
      <c r="J194" s="93" t="str">
        <f t="shared" si="187"/>
        <v/>
      </c>
      <c r="K194" s="94" t="s">
        <v>549</v>
      </c>
      <c r="L194" s="95" t="str">
        <f t="shared" si="189"/>
        <v/>
      </c>
      <c r="M194" s="96" t="str">
        <f t="shared" si="190"/>
        <v/>
      </c>
      <c r="N194" s="97" t="s">
        <v>549</v>
      </c>
      <c r="O194" s="97" t="str">
        <f t="shared" si="192"/>
        <v/>
      </c>
      <c r="P194" s="95" t="str">
        <f t="shared" si="193"/>
        <v/>
      </c>
      <c r="Q194" s="98" t="str">
        <f t="shared" si="194"/>
        <v/>
      </c>
      <c r="R194" s="99"/>
    </row>
    <row r="195" spans="1:18" x14ac:dyDescent="0.3">
      <c r="A195" s="86" t="str">
        <f>IF(TRIM(H195)&lt;&gt;"",COUNTA(H$9:$H195)&amp;"","")</f>
        <v>102</v>
      </c>
      <c r="B195" s="242"/>
      <c r="C195" s="263"/>
      <c r="D195" s="260"/>
      <c r="E195" s="89" t="s">
        <v>311</v>
      </c>
      <c r="F195" s="90">
        <v>49</v>
      </c>
      <c r="G195" s="65">
        <f>24.5*2</f>
        <v>49</v>
      </c>
      <c r="H195" s="91" t="s">
        <v>210</v>
      </c>
      <c r="I195" s="92">
        <f t="shared" si="186"/>
        <v>0</v>
      </c>
      <c r="J195" s="93">
        <f t="shared" si="187"/>
        <v>49</v>
      </c>
      <c r="K195" s="94">
        <v>1.92</v>
      </c>
      <c r="L195" s="95">
        <f t="shared" si="189"/>
        <v>94.08</v>
      </c>
      <c r="M195" s="96">
        <f t="shared" si="190"/>
        <v>75</v>
      </c>
      <c r="N195" s="97">
        <v>3.2000000000000008E-2</v>
      </c>
      <c r="O195" s="97">
        <f t="shared" si="192"/>
        <v>1.5680000000000003</v>
      </c>
      <c r="P195" s="95">
        <f t="shared" si="193"/>
        <v>117.60000000000002</v>
      </c>
      <c r="Q195" s="98">
        <f t="shared" si="194"/>
        <v>211.68</v>
      </c>
      <c r="R195" s="99"/>
    </row>
    <row r="196" spans="1:18" x14ac:dyDescent="0.3">
      <c r="A196" s="86" t="str">
        <f>IF(TRIM(H196)&lt;&gt;"",COUNTA(H$9:$H196)&amp;"","")</f>
        <v>103</v>
      </c>
      <c r="B196" s="242"/>
      <c r="C196" s="263"/>
      <c r="D196" s="260"/>
      <c r="E196" s="89" t="s">
        <v>312</v>
      </c>
      <c r="F196" s="90">
        <v>346</v>
      </c>
      <c r="G196" s="65">
        <f>24.5/1.33*18.75</f>
        <v>345.3947368421052</v>
      </c>
      <c r="H196" s="91" t="s">
        <v>210</v>
      </c>
      <c r="I196" s="92">
        <f t="shared" si="186"/>
        <v>0</v>
      </c>
      <c r="J196" s="93">
        <f t="shared" si="187"/>
        <v>346</v>
      </c>
      <c r="K196" s="94">
        <v>1.92</v>
      </c>
      <c r="L196" s="95">
        <f t="shared" si="189"/>
        <v>664.31999999999994</v>
      </c>
      <c r="M196" s="96">
        <f t="shared" si="190"/>
        <v>75</v>
      </c>
      <c r="N196" s="97">
        <v>3.2000000000000008E-2</v>
      </c>
      <c r="O196" s="97">
        <f t="shared" si="192"/>
        <v>11.072000000000003</v>
      </c>
      <c r="P196" s="95">
        <f t="shared" si="193"/>
        <v>830.4000000000002</v>
      </c>
      <c r="Q196" s="98">
        <f t="shared" si="194"/>
        <v>1494.7200000000003</v>
      </c>
      <c r="R196" s="99"/>
    </row>
    <row r="197" spans="1:18" x14ac:dyDescent="0.3">
      <c r="A197" s="86" t="str">
        <f>IF(TRIM(H197)&lt;&gt;"",COUNTA(H$9:$H197)&amp;"","")</f>
        <v>104</v>
      </c>
      <c r="B197" s="242"/>
      <c r="C197" s="263"/>
      <c r="D197" s="260"/>
      <c r="E197" s="89" t="s">
        <v>307</v>
      </c>
      <c r="F197" s="90">
        <v>919</v>
      </c>
      <c r="G197" s="65">
        <f>24.5*18.75*2</f>
        <v>918.75</v>
      </c>
      <c r="H197" s="91" t="s">
        <v>184</v>
      </c>
      <c r="I197" s="92">
        <f t="shared" si="186"/>
        <v>0</v>
      </c>
      <c r="J197" s="93">
        <f t="shared" si="187"/>
        <v>919</v>
      </c>
      <c r="K197" s="94">
        <v>0.78</v>
      </c>
      <c r="L197" s="95">
        <f t="shared" si="189"/>
        <v>716.82</v>
      </c>
      <c r="M197" s="96">
        <f t="shared" si="190"/>
        <v>75</v>
      </c>
      <c r="N197" s="97">
        <v>1.3000000000000001E-2</v>
      </c>
      <c r="O197" s="97">
        <f t="shared" si="192"/>
        <v>11.947000000000001</v>
      </c>
      <c r="P197" s="95">
        <f t="shared" si="193"/>
        <v>896.02500000000009</v>
      </c>
      <c r="Q197" s="98">
        <f t="shared" si="194"/>
        <v>1612.8450000000003</v>
      </c>
      <c r="R197" s="99"/>
    </row>
    <row r="198" spans="1:18" x14ac:dyDescent="0.3">
      <c r="A198" s="86" t="str">
        <f>IF(TRIM(H198)&lt;&gt;"",COUNTA(H$9:$H198)&amp;"","")</f>
        <v>105</v>
      </c>
      <c r="B198" s="242"/>
      <c r="C198" s="263"/>
      <c r="D198" s="260"/>
      <c r="E198" s="89" t="s">
        <v>305</v>
      </c>
      <c r="F198" s="90">
        <v>460</v>
      </c>
      <c r="G198" s="65">
        <f>24.5*18.75</f>
        <v>459.375</v>
      </c>
      <c r="H198" s="91" t="s">
        <v>184</v>
      </c>
      <c r="I198" s="92">
        <f t="shared" si="186"/>
        <v>0</v>
      </c>
      <c r="J198" s="93">
        <f t="shared" si="187"/>
        <v>460</v>
      </c>
      <c r="K198" s="94">
        <v>1.68</v>
      </c>
      <c r="L198" s="95">
        <f t="shared" si="189"/>
        <v>772.8</v>
      </c>
      <c r="M198" s="96">
        <f t="shared" si="190"/>
        <v>75</v>
      </c>
      <c r="N198" s="97">
        <v>2.7999999999999997E-2</v>
      </c>
      <c r="O198" s="97">
        <f t="shared" si="192"/>
        <v>12.879999999999999</v>
      </c>
      <c r="P198" s="95">
        <f t="shared" si="193"/>
        <v>965.99999999999989</v>
      </c>
      <c r="Q198" s="98">
        <f t="shared" si="194"/>
        <v>1738.7999999999997</v>
      </c>
      <c r="R198" s="99"/>
    </row>
    <row r="199" spans="1:18" x14ac:dyDescent="0.3">
      <c r="A199" s="86" t="str">
        <f>IF(TRIM(H199)&lt;&gt;"",COUNTA(H$9:$H199)&amp;"","")</f>
        <v>106</v>
      </c>
      <c r="B199" s="242"/>
      <c r="C199" s="263"/>
      <c r="D199" s="260"/>
      <c r="E199" s="89" t="s">
        <v>308</v>
      </c>
      <c r="F199" s="90">
        <v>98</v>
      </c>
      <c r="G199" s="65">
        <f>24.5*4</f>
        <v>98</v>
      </c>
      <c r="H199" s="91" t="s">
        <v>210</v>
      </c>
      <c r="I199" s="92">
        <f t="shared" si="186"/>
        <v>0</v>
      </c>
      <c r="J199" s="93">
        <f t="shared" si="187"/>
        <v>98</v>
      </c>
      <c r="K199" s="94">
        <v>0.6</v>
      </c>
      <c r="L199" s="95">
        <f t="shared" si="189"/>
        <v>58.8</v>
      </c>
      <c r="M199" s="96">
        <f t="shared" si="190"/>
        <v>75</v>
      </c>
      <c r="N199" s="97">
        <v>0.01</v>
      </c>
      <c r="O199" s="97">
        <f t="shared" si="192"/>
        <v>0.98</v>
      </c>
      <c r="P199" s="95">
        <f t="shared" si="193"/>
        <v>73.5</v>
      </c>
      <c r="Q199" s="98">
        <f t="shared" si="194"/>
        <v>132.30000000000001</v>
      </c>
      <c r="R199" s="99"/>
    </row>
    <row r="200" spans="1:18" x14ac:dyDescent="0.3">
      <c r="A200" s="86" t="str">
        <f>IF(TRIM(H200)&lt;&gt;"",COUNTA(H$9:$H200)&amp;"","")</f>
        <v/>
      </c>
      <c r="B200" s="242"/>
      <c r="C200" s="263"/>
      <c r="D200" s="260"/>
      <c r="E200" s="158" t="s">
        <v>314</v>
      </c>
      <c r="F200" s="90"/>
      <c r="G200" s="65">
        <v>26</v>
      </c>
      <c r="H200" s="91"/>
      <c r="I200" s="92" t="str">
        <f t="shared" si="186"/>
        <v/>
      </c>
      <c r="J200" s="93" t="str">
        <f t="shared" si="187"/>
        <v/>
      </c>
      <c r="K200" s="94" t="s">
        <v>549</v>
      </c>
      <c r="L200" s="95" t="str">
        <f t="shared" si="189"/>
        <v/>
      </c>
      <c r="M200" s="96" t="str">
        <f t="shared" si="190"/>
        <v/>
      </c>
      <c r="N200" s="97" t="s">
        <v>549</v>
      </c>
      <c r="O200" s="97" t="str">
        <f t="shared" si="192"/>
        <v/>
      </c>
      <c r="P200" s="95" t="str">
        <f t="shared" si="193"/>
        <v/>
      </c>
      <c r="Q200" s="98" t="str">
        <f t="shared" si="194"/>
        <v/>
      </c>
      <c r="R200" s="99"/>
    </row>
    <row r="201" spans="1:18" x14ac:dyDescent="0.3">
      <c r="A201" s="86" t="str">
        <f>IF(TRIM(H201)&lt;&gt;"",COUNTA(H$9:$H201)&amp;"","")</f>
        <v>107</v>
      </c>
      <c r="B201" s="242"/>
      <c r="C201" s="263"/>
      <c r="D201" s="260"/>
      <c r="E201" s="89" t="s">
        <v>303</v>
      </c>
      <c r="F201" s="90">
        <v>52</v>
      </c>
      <c r="G201" s="65">
        <f>26*2</f>
        <v>52</v>
      </c>
      <c r="H201" s="91" t="s">
        <v>210</v>
      </c>
      <c r="I201" s="92">
        <f t="shared" si="186"/>
        <v>0</v>
      </c>
      <c r="J201" s="93">
        <f t="shared" si="187"/>
        <v>52</v>
      </c>
      <c r="K201" s="94">
        <v>2.52</v>
      </c>
      <c r="L201" s="95">
        <f t="shared" si="189"/>
        <v>131.04</v>
      </c>
      <c r="M201" s="96">
        <f t="shared" si="190"/>
        <v>75</v>
      </c>
      <c r="N201" s="97">
        <v>4.2000000000000003E-2</v>
      </c>
      <c r="O201" s="97">
        <f t="shared" si="192"/>
        <v>2.1840000000000002</v>
      </c>
      <c r="P201" s="95">
        <f t="shared" si="193"/>
        <v>163.80000000000001</v>
      </c>
      <c r="Q201" s="98">
        <f t="shared" si="194"/>
        <v>294.84000000000003</v>
      </c>
      <c r="R201" s="99"/>
    </row>
    <row r="202" spans="1:18" x14ac:dyDescent="0.3">
      <c r="A202" s="86" t="str">
        <f>IF(TRIM(H202)&lt;&gt;"",COUNTA(H$9:$H202)&amp;"","")</f>
        <v>108</v>
      </c>
      <c r="B202" s="242"/>
      <c r="C202" s="263"/>
      <c r="D202" s="260"/>
      <c r="E202" s="89" t="s">
        <v>304</v>
      </c>
      <c r="F202" s="90">
        <v>369</v>
      </c>
      <c r="G202" s="65">
        <f>26/1.33*18.83</f>
        <v>368.10526315789468</v>
      </c>
      <c r="H202" s="91" t="s">
        <v>210</v>
      </c>
      <c r="I202" s="92">
        <f t="shared" si="186"/>
        <v>0</v>
      </c>
      <c r="J202" s="93">
        <f t="shared" si="187"/>
        <v>369</v>
      </c>
      <c r="K202" s="94">
        <v>2.52</v>
      </c>
      <c r="L202" s="95">
        <f t="shared" si="189"/>
        <v>929.88</v>
      </c>
      <c r="M202" s="96">
        <f t="shared" si="190"/>
        <v>75</v>
      </c>
      <c r="N202" s="97">
        <v>4.2000000000000003E-2</v>
      </c>
      <c r="O202" s="97">
        <f t="shared" si="192"/>
        <v>15.498000000000001</v>
      </c>
      <c r="P202" s="95">
        <f t="shared" si="193"/>
        <v>1162.3500000000001</v>
      </c>
      <c r="Q202" s="98">
        <f t="shared" si="194"/>
        <v>2092.23</v>
      </c>
      <c r="R202" s="99"/>
    </row>
    <row r="203" spans="1:18" x14ac:dyDescent="0.3">
      <c r="A203" s="86" t="str">
        <f>IF(TRIM(H203)&lt;&gt;"",COUNTA(H$9:$H203)&amp;"","")</f>
        <v>109</v>
      </c>
      <c r="B203" s="242"/>
      <c r="C203" s="263"/>
      <c r="D203" s="260"/>
      <c r="E203" s="89" t="s">
        <v>307</v>
      </c>
      <c r="F203" s="90">
        <v>980</v>
      </c>
      <c r="G203" s="65">
        <f>26*18.83*2</f>
        <v>979.15999999999985</v>
      </c>
      <c r="H203" s="91" t="s">
        <v>184</v>
      </c>
      <c r="I203" s="92">
        <f t="shared" si="186"/>
        <v>0</v>
      </c>
      <c r="J203" s="93">
        <f t="shared" si="187"/>
        <v>980</v>
      </c>
      <c r="K203" s="94">
        <v>0.78</v>
      </c>
      <c r="L203" s="95">
        <f t="shared" si="189"/>
        <v>764.4</v>
      </c>
      <c r="M203" s="96">
        <f t="shared" si="190"/>
        <v>75</v>
      </c>
      <c r="N203" s="97">
        <v>1.3000000000000001E-2</v>
      </c>
      <c r="O203" s="97">
        <f t="shared" si="192"/>
        <v>12.740000000000002</v>
      </c>
      <c r="P203" s="95">
        <f t="shared" si="193"/>
        <v>955.50000000000011</v>
      </c>
      <c r="Q203" s="98">
        <f t="shared" si="194"/>
        <v>1719.9</v>
      </c>
      <c r="R203" s="99"/>
    </row>
    <row r="204" spans="1:18" x14ac:dyDescent="0.3">
      <c r="A204" s="86" t="str">
        <f>IF(TRIM(H204)&lt;&gt;"",COUNTA(H$9:$H204)&amp;"","")</f>
        <v>110</v>
      </c>
      <c r="B204" s="242"/>
      <c r="C204" s="263"/>
      <c r="D204" s="260"/>
      <c r="E204" s="89" t="s">
        <v>305</v>
      </c>
      <c r="F204" s="90">
        <v>490</v>
      </c>
      <c r="G204" s="65">
        <f>26*18.83</f>
        <v>489.57999999999993</v>
      </c>
      <c r="H204" s="91" t="s">
        <v>184</v>
      </c>
      <c r="I204" s="92">
        <f t="shared" si="186"/>
        <v>0</v>
      </c>
      <c r="J204" s="93">
        <f t="shared" si="187"/>
        <v>490</v>
      </c>
      <c r="K204" s="94">
        <v>1.68</v>
      </c>
      <c r="L204" s="95">
        <f t="shared" si="189"/>
        <v>823.19999999999993</v>
      </c>
      <c r="M204" s="96">
        <f t="shared" si="190"/>
        <v>75</v>
      </c>
      <c r="N204" s="97">
        <v>2.7999999999999997E-2</v>
      </c>
      <c r="O204" s="97">
        <f t="shared" si="192"/>
        <v>13.719999999999999</v>
      </c>
      <c r="P204" s="95">
        <f t="shared" si="193"/>
        <v>1029</v>
      </c>
      <c r="Q204" s="98">
        <f t="shared" si="194"/>
        <v>1852.1999999999998</v>
      </c>
      <c r="R204" s="99"/>
    </row>
    <row r="205" spans="1:18" x14ac:dyDescent="0.3">
      <c r="A205" s="86" t="str">
        <f>IF(TRIM(H205)&lt;&gt;"",COUNTA(H$9:$H205)&amp;"","")</f>
        <v>111</v>
      </c>
      <c r="B205" s="242"/>
      <c r="C205" s="263"/>
      <c r="D205" s="260"/>
      <c r="E205" s="89" t="s">
        <v>308</v>
      </c>
      <c r="F205" s="90">
        <v>104</v>
      </c>
      <c r="G205" s="65">
        <f>26*4</f>
        <v>104</v>
      </c>
      <c r="H205" s="91" t="s">
        <v>210</v>
      </c>
      <c r="I205" s="92">
        <f t="shared" si="186"/>
        <v>0</v>
      </c>
      <c r="J205" s="93">
        <f t="shared" si="187"/>
        <v>104</v>
      </c>
      <c r="K205" s="94">
        <v>0.6</v>
      </c>
      <c r="L205" s="95">
        <f t="shared" si="189"/>
        <v>62.4</v>
      </c>
      <c r="M205" s="96">
        <f t="shared" si="190"/>
        <v>75</v>
      </c>
      <c r="N205" s="97">
        <v>0.01</v>
      </c>
      <c r="O205" s="97">
        <f t="shared" si="192"/>
        <v>1.04</v>
      </c>
      <c r="P205" s="95">
        <f t="shared" si="193"/>
        <v>78</v>
      </c>
      <c r="Q205" s="98">
        <f t="shared" si="194"/>
        <v>140.4</v>
      </c>
      <c r="R205" s="99"/>
    </row>
    <row r="206" spans="1:18" x14ac:dyDescent="0.3">
      <c r="A206" s="86" t="str">
        <f>IF(TRIM(H206)&lt;&gt;"",COUNTA(H$9:$H206)&amp;"","")</f>
        <v/>
      </c>
      <c r="B206" s="242"/>
      <c r="C206" s="263"/>
      <c r="D206" s="260"/>
      <c r="E206" s="158" t="s">
        <v>315</v>
      </c>
      <c r="F206" s="90"/>
      <c r="G206" s="65">
        <f>44+3.5+8+7.5+2+10</f>
        <v>75</v>
      </c>
      <c r="H206" s="91"/>
      <c r="I206" s="92" t="str">
        <f t="shared" si="186"/>
        <v/>
      </c>
      <c r="J206" s="93" t="str">
        <f t="shared" si="187"/>
        <v/>
      </c>
      <c r="K206" s="94" t="s">
        <v>549</v>
      </c>
      <c r="L206" s="95" t="str">
        <f t="shared" si="189"/>
        <v/>
      </c>
      <c r="M206" s="96" t="str">
        <f t="shared" si="190"/>
        <v/>
      </c>
      <c r="N206" s="97" t="s">
        <v>549</v>
      </c>
      <c r="O206" s="97" t="str">
        <f t="shared" si="192"/>
        <v/>
      </c>
      <c r="P206" s="95" t="str">
        <f t="shared" si="193"/>
        <v/>
      </c>
      <c r="Q206" s="98" t="str">
        <f t="shared" si="194"/>
        <v/>
      </c>
      <c r="R206" s="99"/>
    </row>
    <row r="207" spans="1:18" x14ac:dyDescent="0.3">
      <c r="A207" s="86" t="str">
        <f>IF(TRIM(H207)&lt;&gt;"",COUNTA(H$9:$H207)&amp;"","")</f>
        <v>112</v>
      </c>
      <c r="B207" s="242"/>
      <c r="C207" s="263"/>
      <c r="D207" s="260"/>
      <c r="E207" s="89" t="s">
        <v>311</v>
      </c>
      <c r="F207" s="90">
        <v>1550</v>
      </c>
      <c r="G207" s="65">
        <f>775*2</f>
        <v>1550</v>
      </c>
      <c r="H207" s="91" t="s">
        <v>210</v>
      </c>
      <c r="I207" s="92">
        <f t="shared" si="186"/>
        <v>0</v>
      </c>
      <c r="J207" s="93">
        <f t="shared" si="187"/>
        <v>1550</v>
      </c>
      <c r="K207" s="94">
        <v>1.92</v>
      </c>
      <c r="L207" s="95">
        <f t="shared" si="189"/>
        <v>2976</v>
      </c>
      <c r="M207" s="96">
        <f t="shared" si="190"/>
        <v>75</v>
      </c>
      <c r="N207" s="97">
        <v>3.2000000000000008E-2</v>
      </c>
      <c r="O207" s="97">
        <f t="shared" si="192"/>
        <v>49.600000000000009</v>
      </c>
      <c r="P207" s="95">
        <f t="shared" si="193"/>
        <v>3720.0000000000005</v>
      </c>
      <c r="Q207" s="98">
        <f t="shared" si="194"/>
        <v>6696</v>
      </c>
      <c r="R207" s="99"/>
    </row>
    <row r="208" spans="1:18" x14ac:dyDescent="0.3">
      <c r="A208" s="86" t="str">
        <f>IF(TRIM(H208)&lt;&gt;"",COUNTA(H$9:$H208)&amp;"","")</f>
        <v>113</v>
      </c>
      <c r="B208" s="242"/>
      <c r="C208" s="263"/>
      <c r="D208" s="260"/>
      <c r="E208" s="89" t="s">
        <v>312</v>
      </c>
      <c r="F208" s="90">
        <v>643</v>
      </c>
      <c r="G208" s="65">
        <f>44/1.33*10+4/1.33*11.67+8/1.33*11.167+7.5/1.33*19.67+2/1.33*10.34+10/1.33*11</f>
        <v>642.27142857142849</v>
      </c>
      <c r="H208" s="91" t="s">
        <v>210</v>
      </c>
      <c r="I208" s="92">
        <f t="shared" si="186"/>
        <v>0</v>
      </c>
      <c r="J208" s="93">
        <f t="shared" si="187"/>
        <v>643</v>
      </c>
      <c r="K208" s="94">
        <v>1.92</v>
      </c>
      <c r="L208" s="95">
        <f t="shared" si="189"/>
        <v>1234.56</v>
      </c>
      <c r="M208" s="96">
        <f t="shared" si="190"/>
        <v>75</v>
      </c>
      <c r="N208" s="97">
        <v>3.2000000000000008E-2</v>
      </c>
      <c r="O208" s="97">
        <f t="shared" si="192"/>
        <v>20.576000000000004</v>
      </c>
      <c r="P208" s="95">
        <f t="shared" si="193"/>
        <v>1543.2000000000003</v>
      </c>
      <c r="Q208" s="98">
        <f t="shared" si="194"/>
        <v>2777.76</v>
      </c>
      <c r="R208" s="99"/>
    </row>
    <row r="209" spans="1:18" x14ac:dyDescent="0.3">
      <c r="A209" s="86" t="str">
        <f>IF(TRIM(H209)&lt;&gt;"",COUNTA(H$9:$H209)&amp;"","")</f>
        <v>114</v>
      </c>
      <c r="B209" s="242"/>
      <c r="C209" s="263"/>
      <c r="D209" s="260"/>
      <c r="E209" s="89" t="s">
        <v>307</v>
      </c>
      <c r="F209" s="90">
        <v>1697</v>
      </c>
      <c r="G209" s="65">
        <f>10*44*2+3.5*11.67*2+8*11.167*2+19.67*7.5*2+10.34*2*2+11*10*2</f>
        <v>1696.7719999999999</v>
      </c>
      <c r="H209" s="91" t="s">
        <v>184</v>
      </c>
      <c r="I209" s="92">
        <f t="shared" si="186"/>
        <v>0</v>
      </c>
      <c r="J209" s="93">
        <f t="shared" si="187"/>
        <v>1697</v>
      </c>
      <c r="K209" s="94">
        <v>0.78</v>
      </c>
      <c r="L209" s="95">
        <f t="shared" si="189"/>
        <v>1323.66</v>
      </c>
      <c r="M209" s="96">
        <f t="shared" si="190"/>
        <v>75</v>
      </c>
      <c r="N209" s="97">
        <v>1.3000000000000001E-2</v>
      </c>
      <c r="O209" s="97">
        <f t="shared" si="192"/>
        <v>22.061000000000003</v>
      </c>
      <c r="P209" s="95">
        <f t="shared" si="193"/>
        <v>1654.5750000000003</v>
      </c>
      <c r="Q209" s="98">
        <f t="shared" si="194"/>
        <v>2978.2350000000006</v>
      </c>
      <c r="R209" s="99"/>
    </row>
    <row r="210" spans="1:18" x14ac:dyDescent="0.3">
      <c r="A210" s="86" t="str">
        <f>IF(TRIM(H210)&lt;&gt;"",COUNTA(H$9:$H210)&amp;"","")</f>
        <v>115</v>
      </c>
      <c r="B210" s="242"/>
      <c r="C210" s="263"/>
      <c r="D210" s="260"/>
      <c r="E210" s="89" t="s">
        <v>305</v>
      </c>
      <c r="F210" s="90">
        <v>838</v>
      </c>
      <c r="G210" s="65">
        <f>10*44+3.5*11.67+8*11.167+19.67*7.5+10.34+11*10</f>
        <v>838.04600000000005</v>
      </c>
      <c r="H210" s="91" t="s">
        <v>184</v>
      </c>
      <c r="I210" s="92">
        <f t="shared" si="186"/>
        <v>0</v>
      </c>
      <c r="J210" s="93">
        <f t="shared" si="187"/>
        <v>838</v>
      </c>
      <c r="K210" s="94">
        <v>1.68</v>
      </c>
      <c r="L210" s="95">
        <f t="shared" si="189"/>
        <v>1407.84</v>
      </c>
      <c r="M210" s="96">
        <f t="shared" si="190"/>
        <v>75</v>
      </c>
      <c r="N210" s="97">
        <v>2.7999999999999997E-2</v>
      </c>
      <c r="O210" s="97">
        <f t="shared" si="192"/>
        <v>23.463999999999999</v>
      </c>
      <c r="P210" s="95">
        <f t="shared" si="193"/>
        <v>1759.8</v>
      </c>
      <c r="Q210" s="98">
        <f t="shared" si="194"/>
        <v>3167.64</v>
      </c>
      <c r="R210" s="99"/>
    </row>
    <row r="211" spans="1:18" x14ac:dyDescent="0.3">
      <c r="A211" s="86" t="str">
        <f>IF(TRIM(H211)&lt;&gt;"",COUNTA(H$9:$H211)&amp;"","")</f>
        <v>116</v>
      </c>
      <c r="B211" s="242"/>
      <c r="C211" s="263"/>
      <c r="D211" s="260"/>
      <c r="E211" s="89" t="s">
        <v>308</v>
      </c>
      <c r="F211" s="90">
        <v>300</v>
      </c>
      <c r="G211" s="65">
        <f>75*4</f>
        <v>300</v>
      </c>
      <c r="H211" s="91" t="s">
        <v>210</v>
      </c>
      <c r="I211" s="92">
        <f t="shared" si="186"/>
        <v>0</v>
      </c>
      <c r="J211" s="93">
        <f t="shared" si="187"/>
        <v>300</v>
      </c>
      <c r="K211" s="94">
        <v>0.6</v>
      </c>
      <c r="L211" s="95">
        <f t="shared" si="189"/>
        <v>180</v>
      </c>
      <c r="M211" s="96">
        <f t="shared" si="190"/>
        <v>75</v>
      </c>
      <c r="N211" s="97">
        <v>0.01</v>
      </c>
      <c r="O211" s="97">
        <f t="shared" si="192"/>
        <v>3</v>
      </c>
      <c r="P211" s="95">
        <f t="shared" si="193"/>
        <v>225</v>
      </c>
      <c r="Q211" s="98">
        <f t="shared" si="194"/>
        <v>405</v>
      </c>
      <c r="R211" s="99"/>
    </row>
    <row r="212" spans="1:18" x14ac:dyDescent="0.3">
      <c r="A212" s="86" t="str">
        <f>IF(TRIM(H212)&lt;&gt;"",COUNTA(H$9:$H212)&amp;"","")</f>
        <v/>
      </c>
      <c r="B212" s="242"/>
      <c r="C212" s="263"/>
      <c r="D212" s="260"/>
      <c r="E212" s="158" t="s">
        <v>316</v>
      </c>
      <c r="F212" s="90"/>
      <c r="G212" s="65">
        <f>15.5+9+2</f>
        <v>26.5</v>
      </c>
      <c r="H212" s="91"/>
      <c r="I212" s="92" t="str">
        <f t="shared" ref="I212:I220" si="211">IF(F212=0,"",0)</f>
        <v/>
      </c>
      <c r="J212" s="93" t="str">
        <f t="shared" ref="J212:J220" si="212">IF(F212=0,"",F212+(F212*I212))</f>
        <v/>
      </c>
      <c r="K212" s="94" t="s">
        <v>549</v>
      </c>
      <c r="L212" s="95" t="str">
        <f t="shared" ref="L212:L220" si="213">IF(F212=0,"",K212*J212)</f>
        <v/>
      </c>
      <c r="M212" s="96" t="str">
        <f t="shared" ref="M212:M220" si="214">IF(F212=0,"",M$7)</f>
        <v/>
      </c>
      <c r="N212" s="97" t="s">
        <v>549</v>
      </c>
      <c r="O212" s="97" t="str">
        <f t="shared" ref="O212:O220" si="215">IF(F212=0,"",N212*J212)</f>
        <v/>
      </c>
      <c r="P212" s="95" t="str">
        <f t="shared" ref="P212:P220" si="216">IF(F212=0,"",O212*M212)</f>
        <v/>
      </c>
      <c r="Q212" s="98" t="str">
        <f t="shared" ref="Q212:Q220" si="217">IF(F212=0,"",L212+P212)</f>
        <v/>
      </c>
      <c r="R212" s="99"/>
    </row>
    <row r="213" spans="1:18" x14ac:dyDescent="0.3">
      <c r="A213" s="86" t="str">
        <f>IF(TRIM(H213)&lt;&gt;"",COUNTA(H$9:$H213)&amp;"","")</f>
        <v>117</v>
      </c>
      <c r="B213" s="242"/>
      <c r="C213" s="263"/>
      <c r="D213" s="260"/>
      <c r="E213" s="89" t="s">
        <v>311</v>
      </c>
      <c r="F213" s="90">
        <v>53</v>
      </c>
      <c r="G213" s="65">
        <f>26.5*2</f>
        <v>53</v>
      </c>
      <c r="H213" s="91" t="s">
        <v>210</v>
      </c>
      <c r="I213" s="92">
        <f t="shared" si="211"/>
        <v>0</v>
      </c>
      <c r="J213" s="93">
        <f t="shared" si="212"/>
        <v>53</v>
      </c>
      <c r="K213" s="94">
        <v>1.92</v>
      </c>
      <c r="L213" s="95">
        <f t="shared" si="213"/>
        <v>101.75999999999999</v>
      </c>
      <c r="M213" s="96">
        <f t="shared" si="214"/>
        <v>75</v>
      </c>
      <c r="N213" s="97">
        <v>3.2000000000000008E-2</v>
      </c>
      <c r="O213" s="97">
        <f t="shared" si="215"/>
        <v>1.6960000000000004</v>
      </c>
      <c r="P213" s="95">
        <f t="shared" si="216"/>
        <v>127.20000000000003</v>
      </c>
      <c r="Q213" s="98">
        <f t="shared" si="217"/>
        <v>228.96000000000004</v>
      </c>
      <c r="R213" s="99"/>
    </row>
    <row r="214" spans="1:18" x14ac:dyDescent="0.3">
      <c r="A214" s="86" t="str">
        <f>IF(TRIM(H214)&lt;&gt;"",COUNTA(H$9:$H214)&amp;"","")</f>
        <v>118</v>
      </c>
      <c r="B214" s="242"/>
      <c r="C214" s="263"/>
      <c r="D214" s="260"/>
      <c r="E214" s="89" t="s">
        <v>317</v>
      </c>
      <c r="F214" s="90">
        <v>219</v>
      </c>
      <c r="G214" s="65">
        <f>15.5/1.33*11.25+9/1.33*10.67+2/1.33*10.34</f>
        <v>218.86090225563908</v>
      </c>
      <c r="H214" s="91" t="s">
        <v>210</v>
      </c>
      <c r="I214" s="92">
        <f t="shared" si="211"/>
        <v>0</v>
      </c>
      <c r="J214" s="93">
        <f t="shared" si="212"/>
        <v>219</v>
      </c>
      <c r="K214" s="94">
        <v>1.92</v>
      </c>
      <c r="L214" s="95">
        <f t="shared" si="213"/>
        <v>420.47999999999996</v>
      </c>
      <c r="M214" s="96">
        <f t="shared" si="214"/>
        <v>75</v>
      </c>
      <c r="N214" s="97">
        <v>3.2000000000000008E-2</v>
      </c>
      <c r="O214" s="97">
        <f t="shared" si="215"/>
        <v>7.0080000000000018</v>
      </c>
      <c r="P214" s="95">
        <f t="shared" si="216"/>
        <v>525.60000000000014</v>
      </c>
      <c r="Q214" s="98">
        <f t="shared" si="217"/>
        <v>946.08000000000015</v>
      </c>
      <c r="R214" s="99"/>
    </row>
    <row r="215" spans="1:18" x14ac:dyDescent="0.3">
      <c r="A215" s="86" t="str">
        <f>IF(TRIM(H215)&lt;&gt;"",COUNTA(H$9:$H215)&amp;"","")</f>
        <v>119</v>
      </c>
      <c r="B215" s="242"/>
      <c r="C215" s="263"/>
      <c r="D215" s="260"/>
      <c r="E215" s="89" t="s">
        <v>307</v>
      </c>
      <c r="F215" s="90">
        <v>583</v>
      </c>
      <c r="G215" s="65">
        <f>15.5*11.25*2+9*10.67*2+2*10.34*2</f>
        <v>582.16999999999996</v>
      </c>
      <c r="H215" s="91" t="s">
        <v>184</v>
      </c>
      <c r="I215" s="92">
        <f t="shared" si="211"/>
        <v>0</v>
      </c>
      <c r="J215" s="93">
        <f t="shared" si="212"/>
        <v>583</v>
      </c>
      <c r="K215" s="94">
        <v>0.78</v>
      </c>
      <c r="L215" s="95">
        <f t="shared" si="213"/>
        <v>454.74</v>
      </c>
      <c r="M215" s="96">
        <f t="shared" si="214"/>
        <v>75</v>
      </c>
      <c r="N215" s="97">
        <v>1.3000000000000001E-2</v>
      </c>
      <c r="O215" s="97">
        <f t="shared" si="215"/>
        <v>7.5790000000000006</v>
      </c>
      <c r="P215" s="95">
        <f t="shared" si="216"/>
        <v>568.42500000000007</v>
      </c>
      <c r="Q215" s="98">
        <f t="shared" si="217"/>
        <v>1023.1650000000001</v>
      </c>
      <c r="R215" s="99"/>
    </row>
    <row r="216" spans="1:18" x14ac:dyDescent="0.3">
      <c r="A216" s="86" t="str">
        <f>IF(TRIM(H216)&lt;&gt;"",COUNTA(H$9:$H216)&amp;"","")</f>
        <v>120</v>
      </c>
      <c r="B216" s="242"/>
      <c r="C216" s="263"/>
      <c r="D216" s="260"/>
      <c r="E216" s="89" t="s">
        <v>305</v>
      </c>
      <c r="F216" s="90">
        <v>291</v>
      </c>
      <c r="G216" s="65">
        <f>15.5*11.25+9*10.67+2*10.34</f>
        <v>291.08499999999998</v>
      </c>
      <c r="H216" s="91" t="s">
        <v>184</v>
      </c>
      <c r="I216" s="92">
        <f t="shared" si="211"/>
        <v>0</v>
      </c>
      <c r="J216" s="93">
        <f t="shared" si="212"/>
        <v>291</v>
      </c>
      <c r="K216" s="94">
        <v>1.68</v>
      </c>
      <c r="L216" s="95">
        <f t="shared" si="213"/>
        <v>488.88</v>
      </c>
      <c r="M216" s="96">
        <f t="shared" si="214"/>
        <v>75</v>
      </c>
      <c r="N216" s="97">
        <v>2.7999999999999997E-2</v>
      </c>
      <c r="O216" s="97">
        <f t="shared" si="215"/>
        <v>8.1479999999999997</v>
      </c>
      <c r="P216" s="95">
        <f t="shared" si="216"/>
        <v>611.1</v>
      </c>
      <c r="Q216" s="98">
        <f t="shared" si="217"/>
        <v>1099.98</v>
      </c>
      <c r="R216" s="99"/>
    </row>
    <row r="217" spans="1:18" x14ac:dyDescent="0.3">
      <c r="A217" s="86" t="str">
        <f>IF(TRIM(H217)&lt;&gt;"",COUNTA(H$9:$H217)&amp;"","")</f>
        <v>121</v>
      </c>
      <c r="B217" s="242"/>
      <c r="C217" s="263"/>
      <c r="D217" s="260"/>
      <c r="E217" s="89" t="s">
        <v>308</v>
      </c>
      <c r="F217" s="90">
        <v>106</v>
      </c>
      <c r="G217" s="65">
        <f>26.5*4</f>
        <v>106</v>
      </c>
      <c r="H217" s="91" t="s">
        <v>210</v>
      </c>
      <c r="I217" s="92">
        <f t="shared" si="211"/>
        <v>0</v>
      </c>
      <c r="J217" s="93">
        <f t="shared" si="212"/>
        <v>106</v>
      </c>
      <c r="K217" s="94">
        <v>0.6</v>
      </c>
      <c r="L217" s="95">
        <f t="shared" si="213"/>
        <v>63.599999999999994</v>
      </c>
      <c r="M217" s="96">
        <f t="shared" si="214"/>
        <v>75</v>
      </c>
      <c r="N217" s="97">
        <v>0.01</v>
      </c>
      <c r="O217" s="97">
        <f t="shared" si="215"/>
        <v>1.06</v>
      </c>
      <c r="P217" s="95">
        <f t="shared" si="216"/>
        <v>79.5</v>
      </c>
      <c r="Q217" s="98">
        <f t="shared" si="217"/>
        <v>143.1</v>
      </c>
      <c r="R217" s="99"/>
    </row>
    <row r="218" spans="1:18" x14ac:dyDescent="0.3">
      <c r="A218" s="86" t="str">
        <f>IF(TRIM(H218)&lt;&gt;"",COUNTA(H$9:$H218)&amp;"","")</f>
        <v/>
      </c>
      <c r="B218" s="242"/>
      <c r="C218" s="263"/>
      <c r="D218" s="260"/>
      <c r="E218" s="158" t="s">
        <v>318</v>
      </c>
      <c r="F218" s="90"/>
      <c r="H218" s="91"/>
      <c r="I218" s="92" t="str">
        <f t="shared" si="211"/>
        <v/>
      </c>
      <c r="J218" s="93" t="str">
        <f t="shared" si="212"/>
        <v/>
      </c>
      <c r="K218" s="94" t="s">
        <v>549</v>
      </c>
      <c r="L218" s="95" t="str">
        <f t="shared" si="213"/>
        <v/>
      </c>
      <c r="M218" s="96" t="str">
        <f t="shared" si="214"/>
        <v/>
      </c>
      <c r="N218" s="97" t="s">
        <v>549</v>
      </c>
      <c r="O218" s="97" t="str">
        <f t="shared" si="215"/>
        <v/>
      </c>
      <c r="P218" s="95" t="str">
        <f t="shared" si="216"/>
        <v/>
      </c>
      <c r="Q218" s="98" t="str">
        <f t="shared" si="217"/>
        <v/>
      </c>
      <c r="R218" s="99"/>
    </row>
    <row r="219" spans="1:18" x14ac:dyDescent="0.3">
      <c r="A219" s="86" t="str">
        <f>IF(TRIM(H219)&lt;&gt;"",COUNTA(H$9:$H219)&amp;"","")</f>
        <v>122</v>
      </c>
      <c r="B219" s="242"/>
      <c r="C219" s="263"/>
      <c r="D219" s="260"/>
      <c r="E219" s="89" t="s">
        <v>319</v>
      </c>
      <c r="F219" s="90">
        <v>2317</v>
      </c>
      <c r="G219" s="65">
        <f>74*19.67+8.5*18.67+30.5*13+11.5*10+8.5*22.5</f>
        <v>2317.0250000000001</v>
      </c>
      <c r="H219" s="91" t="s">
        <v>184</v>
      </c>
      <c r="I219" s="92">
        <f t="shared" si="211"/>
        <v>0</v>
      </c>
      <c r="J219" s="93">
        <f t="shared" si="212"/>
        <v>2317</v>
      </c>
      <c r="K219" s="94">
        <v>0.78</v>
      </c>
      <c r="L219" s="95">
        <f t="shared" si="213"/>
        <v>1807.26</v>
      </c>
      <c r="M219" s="96">
        <f t="shared" si="214"/>
        <v>75</v>
      </c>
      <c r="N219" s="97">
        <v>1.3000000000000001E-2</v>
      </c>
      <c r="O219" s="97">
        <f t="shared" si="215"/>
        <v>30.121000000000002</v>
      </c>
      <c r="P219" s="95">
        <f t="shared" si="216"/>
        <v>2259.0750000000003</v>
      </c>
      <c r="Q219" s="98">
        <f t="shared" si="217"/>
        <v>4066.335</v>
      </c>
      <c r="R219" s="99"/>
    </row>
    <row r="220" spans="1:18" x14ac:dyDescent="0.3">
      <c r="A220" s="86" t="str">
        <f>IF(TRIM(H220)&lt;&gt;"",COUNTA(H$9:$H220)&amp;"","")</f>
        <v>123</v>
      </c>
      <c r="B220" s="242"/>
      <c r="C220" s="263"/>
      <c r="D220" s="260"/>
      <c r="E220" s="89" t="s">
        <v>320</v>
      </c>
      <c r="F220" s="90">
        <v>311</v>
      </c>
      <c r="G220" s="65">
        <f>74*2+2*18.67+30.5*2+2*10+2*22.5</f>
        <v>311.34000000000003</v>
      </c>
      <c r="H220" s="91" t="s">
        <v>210</v>
      </c>
      <c r="I220" s="92">
        <f t="shared" si="211"/>
        <v>0</v>
      </c>
      <c r="J220" s="93">
        <f t="shared" si="212"/>
        <v>311</v>
      </c>
      <c r="K220" s="94">
        <v>0.6</v>
      </c>
      <c r="L220" s="95">
        <f t="shared" si="213"/>
        <v>186.6</v>
      </c>
      <c r="M220" s="96">
        <f t="shared" si="214"/>
        <v>75</v>
      </c>
      <c r="N220" s="97">
        <v>0.01</v>
      </c>
      <c r="O220" s="97">
        <f t="shared" si="215"/>
        <v>3.11</v>
      </c>
      <c r="P220" s="95">
        <f t="shared" si="216"/>
        <v>233.25</v>
      </c>
      <c r="Q220" s="98">
        <f t="shared" si="217"/>
        <v>419.85</v>
      </c>
      <c r="R220" s="99"/>
    </row>
    <row r="221" spans="1:18" x14ac:dyDescent="0.3">
      <c r="A221" s="86" t="str">
        <f>IF(TRIM(H221)&lt;&gt;"",COUNTA(H$9:$H221)&amp;"","")</f>
        <v/>
      </c>
      <c r="B221" s="242"/>
      <c r="C221" s="263"/>
      <c r="D221" s="260"/>
      <c r="E221" s="158" t="s">
        <v>321</v>
      </c>
      <c r="F221" s="90"/>
      <c r="H221" s="91"/>
      <c r="I221" s="92" t="str">
        <f t="shared" si="186"/>
        <v/>
      </c>
      <c r="J221" s="93" t="str">
        <f t="shared" si="187"/>
        <v/>
      </c>
      <c r="K221" s="94" t="s">
        <v>549</v>
      </c>
      <c r="L221" s="95" t="str">
        <f t="shared" si="189"/>
        <v/>
      </c>
      <c r="M221" s="96" t="str">
        <f t="shared" si="190"/>
        <v/>
      </c>
      <c r="N221" s="97" t="s">
        <v>549</v>
      </c>
      <c r="O221" s="97" t="str">
        <f t="shared" si="192"/>
        <v/>
      </c>
      <c r="P221" s="95" t="str">
        <f t="shared" si="193"/>
        <v/>
      </c>
      <c r="Q221" s="98" t="str">
        <f t="shared" si="194"/>
        <v/>
      </c>
      <c r="R221" s="99"/>
    </row>
    <row r="222" spans="1:18" x14ac:dyDescent="0.3">
      <c r="A222" s="86" t="str">
        <f>IF(TRIM(H222)&lt;&gt;"",COUNTA(H$9:$H222)&amp;"","")</f>
        <v>124</v>
      </c>
      <c r="B222" s="242"/>
      <c r="C222" s="263"/>
      <c r="D222" s="260"/>
      <c r="E222" s="89" t="s">
        <v>319</v>
      </c>
      <c r="F222" s="90">
        <v>901</v>
      </c>
      <c r="G222" s="65">
        <f>8.5*20.5+13*20.67+12.5*18.775+6.5*18.67+12*8.5</f>
        <v>901.00250000000005</v>
      </c>
      <c r="H222" s="91" t="s">
        <v>184</v>
      </c>
      <c r="I222" s="92">
        <f t="shared" ref="I222:I254" si="218">IF(F222=0,"",0)</f>
        <v>0</v>
      </c>
      <c r="J222" s="93">
        <f t="shared" ref="J222:J254" si="219">IF(F222=0,"",F222+(F222*I222))</f>
        <v>901</v>
      </c>
      <c r="K222" s="94">
        <v>0.78</v>
      </c>
      <c r="L222" s="95">
        <f t="shared" ref="L222:L254" si="220">IF(F222=0,"",K222*J222)</f>
        <v>702.78</v>
      </c>
      <c r="M222" s="96">
        <f t="shared" ref="M222:M254" si="221">IF(F222=0,"",M$7)</f>
        <v>75</v>
      </c>
      <c r="N222" s="97">
        <v>1.3000000000000001E-2</v>
      </c>
      <c r="O222" s="97">
        <f t="shared" ref="O222:O254" si="222">IF(F222=0,"",N222*J222)</f>
        <v>11.713000000000001</v>
      </c>
      <c r="P222" s="95">
        <f t="shared" ref="P222:P254" si="223">IF(F222=0,"",O222*M222)</f>
        <v>878.47500000000002</v>
      </c>
      <c r="Q222" s="98">
        <f t="shared" ref="Q222:Q254" si="224">IF(F222=0,"",L222+P222)</f>
        <v>1581.2550000000001</v>
      </c>
      <c r="R222" s="99"/>
    </row>
    <row r="223" spans="1:18" x14ac:dyDescent="0.3">
      <c r="A223" s="86" t="str">
        <f>IF(TRIM(H223)&lt;&gt;"",COUNTA(H$9:$H223)&amp;"","")</f>
        <v>125</v>
      </c>
      <c r="B223" s="242"/>
      <c r="C223" s="263"/>
      <c r="D223" s="260"/>
      <c r="E223" s="89" t="s">
        <v>306</v>
      </c>
      <c r="F223" s="90">
        <v>901</v>
      </c>
      <c r="G223" s="65">
        <f>8.5*20.5+13*20.67+12.5*18.775+6.5*18.67+12*8.5</f>
        <v>901.00250000000005</v>
      </c>
      <c r="H223" s="91" t="s">
        <v>184</v>
      </c>
      <c r="I223" s="92">
        <f t="shared" si="218"/>
        <v>0</v>
      </c>
      <c r="J223" s="93">
        <f t="shared" si="219"/>
        <v>901</v>
      </c>
      <c r="K223" s="94">
        <v>1.2</v>
      </c>
      <c r="L223" s="95">
        <f t="shared" si="220"/>
        <v>1081.2</v>
      </c>
      <c r="M223" s="96">
        <f t="shared" si="221"/>
        <v>75</v>
      </c>
      <c r="N223" s="97">
        <v>0.02</v>
      </c>
      <c r="O223" s="97">
        <f t="shared" si="222"/>
        <v>18.02</v>
      </c>
      <c r="P223" s="95">
        <f t="shared" si="223"/>
        <v>1351.5</v>
      </c>
      <c r="Q223" s="98">
        <f t="shared" si="224"/>
        <v>2432.6999999999998</v>
      </c>
      <c r="R223" s="99"/>
    </row>
    <row r="224" spans="1:18" x14ac:dyDescent="0.3">
      <c r="A224" s="86" t="str">
        <f>IF(TRIM(H224)&lt;&gt;"",COUNTA(H$9:$H224)&amp;"","")</f>
        <v>126</v>
      </c>
      <c r="B224" s="242"/>
      <c r="C224" s="263"/>
      <c r="D224" s="260"/>
      <c r="E224" s="89" t="s">
        <v>320</v>
      </c>
      <c r="F224" s="90">
        <v>105</v>
      </c>
      <c r="G224" s="65">
        <f>8.5*2+13*2+12.5*2+6.5*2+12*2</f>
        <v>105</v>
      </c>
      <c r="H224" s="91" t="s">
        <v>210</v>
      </c>
      <c r="I224" s="92">
        <f t="shared" si="218"/>
        <v>0</v>
      </c>
      <c r="J224" s="93">
        <f t="shared" si="219"/>
        <v>105</v>
      </c>
      <c r="K224" s="94">
        <v>0.6</v>
      </c>
      <c r="L224" s="95">
        <f t="shared" si="220"/>
        <v>63</v>
      </c>
      <c r="M224" s="96">
        <f t="shared" si="221"/>
        <v>75</v>
      </c>
      <c r="N224" s="97">
        <v>0.01</v>
      </c>
      <c r="O224" s="97">
        <f t="shared" si="222"/>
        <v>1.05</v>
      </c>
      <c r="P224" s="95">
        <f t="shared" si="223"/>
        <v>78.75</v>
      </c>
      <c r="Q224" s="98">
        <f t="shared" si="224"/>
        <v>141.75</v>
      </c>
      <c r="R224" s="99"/>
    </row>
    <row r="225" spans="1:18" x14ac:dyDescent="0.3">
      <c r="A225" s="86" t="str">
        <f>IF(TRIM(H225)&lt;&gt;"",COUNTA(H$9:$H225)&amp;"","")</f>
        <v/>
      </c>
      <c r="B225" s="242"/>
      <c r="C225" s="263"/>
      <c r="D225" s="260"/>
      <c r="E225" s="158" t="s">
        <v>322</v>
      </c>
      <c r="F225" s="90"/>
      <c r="G225" s="65">
        <v>7</v>
      </c>
      <c r="H225" s="91"/>
      <c r="I225" s="92" t="str">
        <f t="shared" ref="I225:I241" si="225">IF(F225=0,"",0)</f>
        <v/>
      </c>
      <c r="J225" s="93" t="str">
        <f t="shared" ref="J225:J241" si="226">IF(F225=0,"",F225+(F225*I225))</f>
        <v/>
      </c>
      <c r="K225" s="94" t="s">
        <v>549</v>
      </c>
      <c r="L225" s="95" t="str">
        <f t="shared" ref="L225:L241" si="227">IF(F225=0,"",K225*J225)</f>
        <v/>
      </c>
      <c r="M225" s="96" t="str">
        <f t="shared" ref="M225:M241" si="228">IF(F225=0,"",M$7)</f>
        <v/>
      </c>
      <c r="N225" s="97" t="s">
        <v>549</v>
      </c>
      <c r="O225" s="97" t="str">
        <f t="shared" ref="O225:O241" si="229">IF(F225=0,"",N225*J225)</f>
        <v/>
      </c>
      <c r="P225" s="95" t="str">
        <f t="shared" ref="P225:P241" si="230">IF(F225=0,"",O225*M225)</f>
        <v/>
      </c>
      <c r="Q225" s="98" t="str">
        <f t="shared" ref="Q225:Q241" si="231">IF(F225=0,"",L225+P225)</f>
        <v/>
      </c>
      <c r="R225" s="99"/>
    </row>
    <row r="226" spans="1:18" x14ac:dyDescent="0.3">
      <c r="A226" s="86" t="str">
        <f>IF(TRIM(H226)&lt;&gt;"",COUNTA(H$9:$H226)&amp;"","")</f>
        <v>127</v>
      </c>
      <c r="B226" s="242"/>
      <c r="C226" s="263"/>
      <c r="D226" s="260"/>
      <c r="E226" s="89" t="s">
        <v>323</v>
      </c>
      <c r="F226" s="90">
        <v>14</v>
      </c>
      <c r="G226" s="65">
        <v>14</v>
      </c>
      <c r="H226" s="91" t="s">
        <v>210</v>
      </c>
      <c r="I226" s="92">
        <f t="shared" si="225"/>
        <v>0</v>
      </c>
      <c r="J226" s="93">
        <f t="shared" si="226"/>
        <v>14</v>
      </c>
      <c r="K226" s="94">
        <v>1.5</v>
      </c>
      <c r="L226" s="95">
        <f t="shared" si="227"/>
        <v>21</v>
      </c>
      <c r="M226" s="96">
        <f t="shared" si="228"/>
        <v>75</v>
      </c>
      <c r="N226" s="97">
        <v>2.5000000000000001E-2</v>
      </c>
      <c r="O226" s="97">
        <f t="shared" si="229"/>
        <v>0.35000000000000003</v>
      </c>
      <c r="P226" s="95">
        <f t="shared" si="230"/>
        <v>26.250000000000004</v>
      </c>
      <c r="Q226" s="98">
        <f t="shared" si="231"/>
        <v>47.25</v>
      </c>
      <c r="R226" s="99"/>
    </row>
    <row r="227" spans="1:18" x14ac:dyDescent="0.3">
      <c r="A227" s="86" t="str">
        <f>IF(TRIM(H227)&lt;&gt;"",COUNTA(H$9:$H227)&amp;"","")</f>
        <v>128</v>
      </c>
      <c r="B227" s="242"/>
      <c r="C227" s="263"/>
      <c r="D227" s="260"/>
      <c r="E227" s="89" t="s">
        <v>324</v>
      </c>
      <c r="F227" s="90">
        <v>45</v>
      </c>
      <c r="G227" s="65">
        <f>7/1.33*8.5</f>
        <v>44.73684210526315</v>
      </c>
      <c r="H227" s="91" t="s">
        <v>210</v>
      </c>
      <c r="I227" s="92">
        <f t="shared" si="225"/>
        <v>0</v>
      </c>
      <c r="J227" s="93">
        <f t="shared" si="226"/>
        <v>45</v>
      </c>
      <c r="K227" s="94">
        <v>1.5</v>
      </c>
      <c r="L227" s="95">
        <f t="shared" si="227"/>
        <v>67.5</v>
      </c>
      <c r="M227" s="96">
        <f t="shared" si="228"/>
        <v>75</v>
      </c>
      <c r="N227" s="97">
        <v>2.5000000000000001E-2</v>
      </c>
      <c r="O227" s="97">
        <f t="shared" si="229"/>
        <v>1.125</v>
      </c>
      <c r="P227" s="95">
        <f t="shared" si="230"/>
        <v>84.375</v>
      </c>
      <c r="Q227" s="98">
        <f t="shared" si="231"/>
        <v>151.875</v>
      </c>
      <c r="R227" s="99"/>
    </row>
    <row r="228" spans="1:18" x14ac:dyDescent="0.3">
      <c r="A228" s="86" t="str">
        <f>IF(TRIM(H228)&lt;&gt;"",COUNTA(H$9:$H228)&amp;"","")</f>
        <v>129</v>
      </c>
      <c r="B228" s="242"/>
      <c r="C228" s="263"/>
      <c r="D228" s="260"/>
      <c r="E228" s="89" t="s">
        <v>319</v>
      </c>
      <c r="F228" s="90">
        <v>60</v>
      </c>
      <c r="G228" s="65">
        <f>7*8.5</f>
        <v>59.5</v>
      </c>
      <c r="H228" s="91" t="s">
        <v>184</v>
      </c>
      <c r="I228" s="92">
        <f t="shared" si="225"/>
        <v>0</v>
      </c>
      <c r="J228" s="93">
        <f t="shared" si="226"/>
        <v>60</v>
      </c>
      <c r="K228" s="94">
        <v>0.78</v>
      </c>
      <c r="L228" s="95">
        <f t="shared" si="227"/>
        <v>46.800000000000004</v>
      </c>
      <c r="M228" s="96">
        <f t="shared" si="228"/>
        <v>75</v>
      </c>
      <c r="N228" s="97">
        <v>1.3000000000000001E-2</v>
      </c>
      <c r="O228" s="97">
        <f t="shared" si="229"/>
        <v>0.78</v>
      </c>
      <c r="P228" s="95">
        <f t="shared" si="230"/>
        <v>58.5</v>
      </c>
      <c r="Q228" s="98">
        <f t="shared" si="231"/>
        <v>105.30000000000001</v>
      </c>
      <c r="R228" s="99"/>
    </row>
    <row r="229" spans="1:18" x14ac:dyDescent="0.3">
      <c r="A229" s="86" t="str">
        <f>IF(TRIM(H229)&lt;&gt;"",COUNTA(H$9:$H229)&amp;"","")</f>
        <v>130</v>
      </c>
      <c r="B229" s="242"/>
      <c r="C229" s="263"/>
      <c r="D229" s="260"/>
      <c r="E229" s="89" t="s">
        <v>320</v>
      </c>
      <c r="F229" s="90">
        <v>14</v>
      </c>
      <c r="G229" s="65">
        <f>14</f>
        <v>14</v>
      </c>
      <c r="H229" s="91" t="s">
        <v>210</v>
      </c>
      <c r="I229" s="92">
        <f t="shared" si="225"/>
        <v>0</v>
      </c>
      <c r="J229" s="93">
        <f t="shared" si="226"/>
        <v>14</v>
      </c>
      <c r="K229" s="94">
        <v>0.6</v>
      </c>
      <c r="L229" s="95">
        <f t="shared" si="227"/>
        <v>8.4</v>
      </c>
      <c r="M229" s="96">
        <f t="shared" si="228"/>
        <v>75</v>
      </c>
      <c r="N229" s="97">
        <v>0.01</v>
      </c>
      <c r="O229" s="97">
        <f t="shared" si="229"/>
        <v>0.14000000000000001</v>
      </c>
      <c r="P229" s="95">
        <f t="shared" si="230"/>
        <v>10.500000000000002</v>
      </c>
      <c r="Q229" s="98">
        <f t="shared" si="231"/>
        <v>18.900000000000002</v>
      </c>
      <c r="R229" s="99"/>
    </row>
    <row r="230" spans="1:18" x14ac:dyDescent="0.3">
      <c r="A230" s="86" t="str">
        <f>IF(TRIM(H230)&lt;&gt;"",COUNTA(H$9:$H230)&amp;"","")</f>
        <v/>
      </c>
      <c r="B230" s="242"/>
      <c r="C230" s="263"/>
      <c r="D230" s="260"/>
      <c r="E230" s="158" t="s">
        <v>325</v>
      </c>
      <c r="F230" s="90"/>
      <c r="G230" s="65">
        <v>27.5</v>
      </c>
      <c r="H230" s="91"/>
      <c r="I230" s="92" t="str">
        <f t="shared" si="225"/>
        <v/>
      </c>
      <c r="J230" s="93" t="str">
        <f t="shared" si="226"/>
        <v/>
      </c>
      <c r="K230" s="94" t="s">
        <v>549</v>
      </c>
      <c r="L230" s="95" t="str">
        <f t="shared" si="227"/>
        <v/>
      </c>
      <c r="M230" s="96" t="str">
        <f t="shared" si="228"/>
        <v/>
      </c>
      <c r="N230" s="97" t="s">
        <v>549</v>
      </c>
      <c r="O230" s="97" t="str">
        <f t="shared" si="229"/>
        <v/>
      </c>
      <c r="P230" s="95" t="str">
        <f t="shared" si="230"/>
        <v/>
      </c>
      <c r="Q230" s="98" t="str">
        <f t="shared" si="231"/>
        <v/>
      </c>
      <c r="R230" s="99"/>
    </row>
    <row r="231" spans="1:18" x14ac:dyDescent="0.3">
      <c r="A231" s="86" t="str">
        <f>IF(TRIM(H231)&lt;&gt;"",COUNTA(H$9:$H231)&amp;"","")</f>
        <v>131</v>
      </c>
      <c r="B231" s="242"/>
      <c r="C231" s="263"/>
      <c r="D231" s="260"/>
      <c r="E231" s="89" t="s">
        <v>323</v>
      </c>
      <c r="F231" s="90">
        <v>55</v>
      </c>
      <c r="G231" s="65">
        <f>27.5*2</f>
        <v>55</v>
      </c>
      <c r="H231" s="91" t="s">
        <v>210</v>
      </c>
      <c r="I231" s="92">
        <f t="shared" si="225"/>
        <v>0</v>
      </c>
      <c r="J231" s="93">
        <f t="shared" si="226"/>
        <v>55</v>
      </c>
      <c r="K231" s="94">
        <v>1.5</v>
      </c>
      <c r="L231" s="95">
        <f t="shared" si="227"/>
        <v>82.5</v>
      </c>
      <c r="M231" s="96">
        <f t="shared" si="228"/>
        <v>75</v>
      </c>
      <c r="N231" s="97">
        <v>2.5000000000000001E-2</v>
      </c>
      <c r="O231" s="97">
        <f t="shared" si="229"/>
        <v>1.375</v>
      </c>
      <c r="P231" s="95">
        <f t="shared" si="230"/>
        <v>103.125</v>
      </c>
      <c r="Q231" s="98">
        <f t="shared" si="231"/>
        <v>185.625</v>
      </c>
      <c r="R231" s="99"/>
    </row>
    <row r="232" spans="1:18" x14ac:dyDescent="0.3">
      <c r="A232" s="86" t="str">
        <f>IF(TRIM(H232)&lt;&gt;"",COUNTA(H$9:$H232)&amp;"","")</f>
        <v>132</v>
      </c>
      <c r="B232" s="242"/>
      <c r="C232" s="263"/>
      <c r="D232" s="260"/>
      <c r="E232" s="89" t="s">
        <v>326</v>
      </c>
      <c r="F232" s="90">
        <v>386</v>
      </c>
      <c r="G232" s="65">
        <f>27.5/1.33*18.67</f>
        <v>386.03383458646613</v>
      </c>
      <c r="H232" s="91" t="s">
        <v>210</v>
      </c>
      <c r="I232" s="92">
        <f t="shared" si="225"/>
        <v>0</v>
      </c>
      <c r="J232" s="93">
        <f t="shared" si="226"/>
        <v>386</v>
      </c>
      <c r="K232" s="94">
        <v>1.5</v>
      </c>
      <c r="L232" s="95">
        <f t="shared" si="227"/>
        <v>579</v>
      </c>
      <c r="M232" s="96">
        <f t="shared" si="228"/>
        <v>75</v>
      </c>
      <c r="N232" s="97">
        <v>2.5000000000000001E-2</v>
      </c>
      <c r="O232" s="97">
        <f t="shared" si="229"/>
        <v>9.65</v>
      </c>
      <c r="P232" s="95">
        <f t="shared" si="230"/>
        <v>723.75</v>
      </c>
      <c r="Q232" s="98">
        <f t="shared" si="231"/>
        <v>1302.75</v>
      </c>
      <c r="R232" s="99"/>
    </row>
    <row r="233" spans="1:18" x14ac:dyDescent="0.3">
      <c r="A233" s="86" t="str">
        <f>IF(TRIM(H233)&lt;&gt;"",COUNTA(H$9:$H233)&amp;"","")</f>
        <v>133</v>
      </c>
      <c r="B233" s="242"/>
      <c r="C233" s="263"/>
      <c r="D233" s="260"/>
      <c r="E233" s="89" t="s">
        <v>319</v>
      </c>
      <c r="F233" s="90">
        <v>514</v>
      </c>
      <c r="G233" s="65">
        <f>27.5*18.67</f>
        <v>513.42500000000007</v>
      </c>
      <c r="H233" s="91" t="s">
        <v>184</v>
      </c>
      <c r="I233" s="92">
        <f t="shared" si="225"/>
        <v>0</v>
      </c>
      <c r="J233" s="93">
        <f t="shared" si="226"/>
        <v>514</v>
      </c>
      <c r="K233" s="94">
        <v>0.78</v>
      </c>
      <c r="L233" s="95">
        <f t="shared" si="227"/>
        <v>400.92</v>
      </c>
      <c r="M233" s="96">
        <f t="shared" si="228"/>
        <v>75</v>
      </c>
      <c r="N233" s="97">
        <v>1.3000000000000001E-2</v>
      </c>
      <c r="O233" s="97">
        <f t="shared" si="229"/>
        <v>6.6820000000000004</v>
      </c>
      <c r="P233" s="95">
        <f t="shared" si="230"/>
        <v>501.15000000000003</v>
      </c>
      <c r="Q233" s="98">
        <f t="shared" si="231"/>
        <v>902.07</v>
      </c>
      <c r="R233" s="99"/>
    </row>
    <row r="234" spans="1:18" x14ac:dyDescent="0.3">
      <c r="A234" s="86" t="str">
        <f>IF(TRIM(H234)&lt;&gt;"",COUNTA(H$9:$H234)&amp;"","")</f>
        <v>134</v>
      </c>
      <c r="B234" s="242"/>
      <c r="C234" s="263"/>
      <c r="D234" s="260"/>
      <c r="E234" s="89" t="s">
        <v>503</v>
      </c>
      <c r="F234" s="90">
        <v>240</v>
      </c>
      <c r="G234" s="65">
        <f>6*40</f>
        <v>240</v>
      </c>
      <c r="H234" s="91" t="s">
        <v>184</v>
      </c>
      <c r="I234" s="92">
        <f t="shared" si="225"/>
        <v>0</v>
      </c>
      <c r="J234" s="93">
        <f t="shared" si="226"/>
        <v>240</v>
      </c>
      <c r="K234" s="94">
        <v>1.32</v>
      </c>
      <c r="L234" s="95">
        <f t="shared" si="227"/>
        <v>316.8</v>
      </c>
      <c r="M234" s="96">
        <f t="shared" si="228"/>
        <v>75</v>
      </c>
      <c r="N234" s="97">
        <v>2.2000000000000002E-2</v>
      </c>
      <c r="O234" s="97">
        <f t="shared" si="229"/>
        <v>5.28</v>
      </c>
      <c r="P234" s="95">
        <f t="shared" si="230"/>
        <v>396</v>
      </c>
      <c r="Q234" s="98">
        <f t="shared" si="231"/>
        <v>712.8</v>
      </c>
      <c r="R234" s="99"/>
    </row>
    <row r="235" spans="1:18" x14ac:dyDescent="0.3">
      <c r="A235" s="86" t="str">
        <f>IF(TRIM(H235)&lt;&gt;"",COUNTA(H$9:$H235)&amp;"","")</f>
        <v>135</v>
      </c>
      <c r="B235" s="242"/>
      <c r="C235" s="263"/>
      <c r="D235" s="260"/>
      <c r="E235" s="89" t="s">
        <v>306</v>
      </c>
      <c r="F235" s="90">
        <v>514</v>
      </c>
      <c r="G235" s="65">
        <f>27.5*18.67</f>
        <v>513.42500000000007</v>
      </c>
      <c r="H235" s="91" t="s">
        <v>184</v>
      </c>
      <c r="I235" s="92">
        <f t="shared" si="225"/>
        <v>0</v>
      </c>
      <c r="J235" s="93">
        <f t="shared" si="226"/>
        <v>514</v>
      </c>
      <c r="K235" s="94">
        <v>1.2</v>
      </c>
      <c r="L235" s="95">
        <f t="shared" si="227"/>
        <v>616.79999999999995</v>
      </c>
      <c r="M235" s="96">
        <f t="shared" si="228"/>
        <v>75</v>
      </c>
      <c r="N235" s="97">
        <v>0.02</v>
      </c>
      <c r="O235" s="97">
        <f t="shared" si="229"/>
        <v>10.28</v>
      </c>
      <c r="P235" s="95">
        <f t="shared" si="230"/>
        <v>771</v>
      </c>
      <c r="Q235" s="98">
        <f t="shared" si="231"/>
        <v>1387.8</v>
      </c>
      <c r="R235" s="99"/>
    </row>
    <row r="236" spans="1:18" x14ac:dyDescent="0.3">
      <c r="A236" s="86" t="str">
        <f>IF(TRIM(H236)&lt;&gt;"",COUNTA(H$9:$H236)&amp;"","")</f>
        <v>136</v>
      </c>
      <c r="B236" s="242"/>
      <c r="C236" s="263"/>
      <c r="D236" s="260"/>
      <c r="E236" s="89" t="s">
        <v>320</v>
      </c>
      <c r="F236" s="90">
        <v>55</v>
      </c>
      <c r="G236" s="65">
        <f>27.5*2</f>
        <v>55</v>
      </c>
      <c r="H236" s="91" t="s">
        <v>210</v>
      </c>
      <c r="I236" s="92">
        <f t="shared" si="225"/>
        <v>0</v>
      </c>
      <c r="J236" s="93">
        <f t="shared" si="226"/>
        <v>55</v>
      </c>
      <c r="K236" s="94">
        <v>0.6</v>
      </c>
      <c r="L236" s="95">
        <f t="shared" si="227"/>
        <v>33</v>
      </c>
      <c r="M236" s="96">
        <f t="shared" si="228"/>
        <v>75</v>
      </c>
      <c r="N236" s="97">
        <v>0.01</v>
      </c>
      <c r="O236" s="97">
        <f t="shared" si="229"/>
        <v>0.55000000000000004</v>
      </c>
      <c r="P236" s="95">
        <f t="shared" si="230"/>
        <v>41.25</v>
      </c>
      <c r="Q236" s="98">
        <f t="shared" si="231"/>
        <v>74.25</v>
      </c>
      <c r="R236" s="99"/>
    </row>
    <row r="237" spans="1:18" x14ac:dyDescent="0.3">
      <c r="A237" s="86" t="str">
        <f>IF(TRIM(H237)&lt;&gt;"",COUNTA(H$9:$H237)&amp;"","")</f>
        <v/>
      </c>
      <c r="B237" s="242"/>
      <c r="C237" s="263"/>
      <c r="D237" s="260"/>
      <c r="E237" s="158" t="s">
        <v>327</v>
      </c>
      <c r="F237" s="90"/>
      <c r="G237" s="65">
        <f>33+5</f>
        <v>38</v>
      </c>
      <c r="H237" s="91"/>
      <c r="I237" s="92" t="str">
        <f t="shared" si="225"/>
        <v/>
      </c>
      <c r="J237" s="93" t="str">
        <f t="shared" si="226"/>
        <v/>
      </c>
      <c r="K237" s="94" t="s">
        <v>549</v>
      </c>
      <c r="L237" s="95" t="str">
        <f t="shared" si="227"/>
        <v/>
      </c>
      <c r="M237" s="96" t="str">
        <f t="shared" si="228"/>
        <v/>
      </c>
      <c r="N237" s="97" t="s">
        <v>549</v>
      </c>
      <c r="O237" s="97" t="str">
        <f t="shared" si="229"/>
        <v/>
      </c>
      <c r="P237" s="95" t="str">
        <f t="shared" si="230"/>
        <v/>
      </c>
      <c r="Q237" s="98" t="str">
        <f t="shared" si="231"/>
        <v/>
      </c>
      <c r="R237" s="99"/>
    </row>
    <row r="238" spans="1:18" x14ac:dyDescent="0.3">
      <c r="A238" s="86" t="str">
        <f>IF(TRIM(H238)&lt;&gt;"",COUNTA(H$9:$H238)&amp;"","")</f>
        <v>137</v>
      </c>
      <c r="B238" s="242"/>
      <c r="C238" s="263"/>
      <c r="D238" s="260"/>
      <c r="E238" s="89" t="s">
        <v>328</v>
      </c>
      <c r="F238" s="90">
        <v>584</v>
      </c>
      <c r="G238" s="65">
        <f>776/1.33</f>
        <v>583.45864661654127</v>
      </c>
      <c r="H238" s="91" t="s">
        <v>210</v>
      </c>
      <c r="I238" s="92">
        <f t="shared" si="225"/>
        <v>0</v>
      </c>
      <c r="J238" s="93">
        <f t="shared" si="226"/>
        <v>584</v>
      </c>
      <c r="K238" s="94">
        <v>1.32</v>
      </c>
      <c r="L238" s="95">
        <f t="shared" si="227"/>
        <v>770.88</v>
      </c>
      <c r="M238" s="96">
        <f t="shared" si="228"/>
        <v>75</v>
      </c>
      <c r="N238" s="97">
        <v>2.2000000000000002E-2</v>
      </c>
      <c r="O238" s="97">
        <f t="shared" si="229"/>
        <v>12.848000000000001</v>
      </c>
      <c r="P238" s="95">
        <f t="shared" si="230"/>
        <v>963.6</v>
      </c>
      <c r="Q238" s="98">
        <f t="shared" si="231"/>
        <v>1734.48</v>
      </c>
      <c r="R238" s="99"/>
    </row>
    <row r="239" spans="1:18" x14ac:dyDescent="0.3">
      <c r="A239" s="86" t="str">
        <f>IF(TRIM(H239)&lt;&gt;"",COUNTA(H$9:$H239)&amp;"","")</f>
        <v>138</v>
      </c>
      <c r="B239" s="242"/>
      <c r="C239" s="263"/>
      <c r="D239" s="260"/>
      <c r="E239" s="89" t="s">
        <v>330</v>
      </c>
      <c r="F239" s="90">
        <v>776</v>
      </c>
      <c r="G239" s="65">
        <f>33*20.67+5*18.67</f>
        <v>775.46</v>
      </c>
      <c r="H239" s="91" t="s">
        <v>184</v>
      </c>
      <c r="I239" s="92">
        <f t="shared" si="225"/>
        <v>0</v>
      </c>
      <c r="J239" s="93">
        <f t="shared" si="226"/>
        <v>776</v>
      </c>
      <c r="K239" s="94">
        <v>1.56</v>
      </c>
      <c r="L239" s="95">
        <f t="shared" si="227"/>
        <v>1210.56</v>
      </c>
      <c r="M239" s="96">
        <f t="shared" si="228"/>
        <v>75</v>
      </c>
      <c r="N239" s="97">
        <v>2.6000000000000002E-2</v>
      </c>
      <c r="O239" s="97">
        <f t="shared" si="229"/>
        <v>20.176000000000002</v>
      </c>
      <c r="P239" s="95">
        <f t="shared" si="230"/>
        <v>1513.2</v>
      </c>
      <c r="Q239" s="98">
        <f t="shared" si="231"/>
        <v>2723.76</v>
      </c>
      <c r="R239" s="99"/>
    </row>
    <row r="240" spans="1:18" x14ac:dyDescent="0.3">
      <c r="A240" s="86" t="str">
        <f>IF(TRIM(H240)&lt;&gt;"",COUNTA(H$9:$H240)&amp;"","")</f>
        <v>139</v>
      </c>
      <c r="B240" s="242"/>
      <c r="C240" s="263"/>
      <c r="D240" s="260"/>
      <c r="E240" s="89" t="s">
        <v>329</v>
      </c>
      <c r="F240" s="90">
        <v>776</v>
      </c>
      <c r="H240" s="91" t="s">
        <v>184</v>
      </c>
      <c r="I240" s="92">
        <f t="shared" si="225"/>
        <v>0</v>
      </c>
      <c r="J240" s="93">
        <f t="shared" si="226"/>
        <v>776</v>
      </c>
      <c r="K240" s="94">
        <v>0.84</v>
      </c>
      <c r="L240" s="95">
        <f t="shared" si="227"/>
        <v>651.84</v>
      </c>
      <c r="M240" s="96">
        <f t="shared" si="228"/>
        <v>75</v>
      </c>
      <c r="N240" s="97">
        <v>1.3999999999999999E-2</v>
      </c>
      <c r="O240" s="97">
        <f t="shared" si="229"/>
        <v>10.863999999999999</v>
      </c>
      <c r="P240" s="95">
        <f t="shared" si="230"/>
        <v>814.8</v>
      </c>
      <c r="Q240" s="98">
        <f t="shared" si="231"/>
        <v>1466.6399999999999</v>
      </c>
      <c r="R240" s="99"/>
    </row>
    <row r="241" spans="1:18" x14ac:dyDescent="0.3">
      <c r="A241" s="86" t="str">
        <f>IF(TRIM(H241)&lt;&gt;"",COUNTA(H$9:$H241)&amp;"","")</f>
        <v>140</v>
      </c>
      <c r="B241" s="242"/>
      <c r="C241" s="263"/>
      <c r="D241" s="260"/>
      <c r="E241" s="89" t="s">
        <v>320</v>
      </c>
      <c r="F241" s="90">
        <v>76</v>
      </c>
      <c r="G241" s="65">
        <f>38*2</f>
        <v>76</v>
      </c>
      <c r="H241" s="91" t="s">
        <v>210</v>
      </c>
      <c r="I241" s="92">
        <f t="shared" si="225"/>
        <v>0</v>
      </c>
      <c r="J241" s="93">
        <f t="shared" si="226"/>
        <v>76</v>
      </c>
      <c r="K241" s="94">
        <v>0.6</v>
      </c>
      <c r="L241" s="95">
        <f t="shared" si="227"/>
        <v>45.6</v>
      </c>
      <c r="M241" s="96">
        <f t="shared" si="228"/>
        <v>75</v>
      </c>
      <c r="N241" s="97">
        <v>0.01</v>
      </c>
      <c r="O241" s="97">
        <f t="shared" si="229"/>
        <v>0.76</v>
      </c>
      <c r="P241" s="95">
        <f t="shared" si="230"/>
        <v>57</v>
      </c>
      <c r="Q241" s="98">
        <f t="shared" si="231"/>
        <v>102.6</v>
      </c>
      <c r="R241" s="99"/>
    </row>
    <row r="242" spans="1:18" x14ac:dyDescent="0.3">
      <c r="A242" s="86" t="str">
        <f>IF(TRIM(H242)&lt;&gt;"",COUNTA(H$9:$H242)&amp;"","")</f>
        <v/>
      </c>
      <c r="B242" s="242"/>
      <c r="C242" s="263"/>
      <c r="D242" s="260"/>
      <c r="E242" s="158" t="s">
        <v>331</v>
      </c>
      <c r="F242" s="90"/>
      <c r="H242" s="91"/>
      <c r="I242" s="92" t="str">
        <f t="shared" si="218"/>
        <v/>
      </c>
      <c r="J242" s="93" t="str">
        <f t="shared" si="219"/>
        <v/>
      </c>
      <c r="K242" s="94" t="s">
        <v>549</v>
      </c>
      <c r="L242" s="95" t="str">
        <f t="shared" si="220"/>
        <v/>
      </c>
      <c r="M242" s="96" t="str">
        <f t="shared" si="221"/>
        <v/>
      </c>
      <c r="N242" s="97" t="s">
        <v>549</v>
      </c>
      <c r="O242" s="97" t="str">
        <f t="shared" si="222"/>
        <v/>
      </c>
      <c r="P242" s="95" t="str">
        <f t="shared" si="223"/>
        <v/>
      </c>
      <c r="Q242" s="98" t="str">
        <f t="shared" si="224"/>
        <v/>
      </c>
      <c r="R242" s="99"/>
    </row>
    <row r="243" spans="1:18" x14ac:dyDescent="0.3">
      <c r="A243" s="86" t="str">
        <f>IF(TRIM(H243)&lt;&gt;"",COUNTA(H$9:$H243)&amp;"","")</f>
        <v>141</v>
      </c>
      <c r="B243" s="242"/>
      <c r="C243" s="263"/>
      <c r="D243" s="260"/>
      <c r="E243" s="89" t="s">
        <v>328</v>
      </c>
      <c r="F243" s="90">
        <v>622</v>
      </c>
      <c r="G243" s="65">
        <f>G244/1.33</f>
        <v>621.6541353383459</v>
      </c>
      <c r="H243" s="91" t="s">
        <v>210</v>
      </c>
      <c r="I243" s="92">
        <f t="shared" si="218"/>
        <v>0</v>
      </c>
      <c r="J243" s="93">
        <f t="shared" si="219"/>
        <v>622</v>
      </c>
      <c r="K243" s="94">
        <v>1.32</v>
      </c>
      <c r="L243" s="95">
        <f t="shared" si="220"/>
        <v>821.04000000000008</v>
      </c>
      <c r="M243" s="96">
        <f t="shared" si="221"/>
        <v>75</v>
      </c>
      <c r="N243" s="97">
        <v>2.2000000000000002E-2</v>
      </c>
      <c r="O243" s="97">
        <f t="shared" si="222"/>
        <v>13.684000000000001</v>
      </c>
      <c r="P243" s="95">
        <f t="shared" si="223"/>
        <v>1026.3000000000002</v>
      </c>
      <c r="Q243" s="98">
        <f t="shared" si="224"/>
        <v>1847.3400000000001</v>
      </c>
      <c r="R243" s="99"/>
    </row>
    <row r="244" spans="1:18" x14ac:dyDescent="0.3">
      <c r="A244" s="86" t="str">
        <f>IF(TRIM(H244)&lt;&gt;"",COUNTA(H$9:$H244)&amp;"","")</f>
        <v>142</v>
      </c>
      <c r="B244" s="242"/>
      <c r="C244" s="263"/>
      <c r="D244" s="260"/>
      <c r="E244" s="89" t="s">
        <v>330</v>
      </c>
      <c r="F244" s="90">
        <v>827</v>
      </c>
      <c r="G244" s="65">
        <f>40*20.67</f>
        <v>826.80000000000007</v>
      </c>
      <c r="H244" s="91" t="s">
        <v>184</v>
      </c>
      <c r="I244" s="92">
        <f t="shared" si="218"/>
        <v>0</v>
      </c>
      <c r="J244" s="93">
        <f t="shared" si="219"/>
        <v>827</v>
      </c>
      <c r="K244" s="94">
        <v>1.56</v>
      </c>
      <c r="L244" s="95">
        <f t="shared" si="220"/>
        <v>1290.1200000000001</v>
      </c>
      <c r="M244" s="96">
        <f t="shared" si="221"/>
        <v>75</v>
      </c>
      <c r="N244" s="97">
        <v>2.6000000000000002E-2</v>
      </c>
      <c r="O244" s="97">
        <f t="shared" si="222"/>
        <v>21.502000000000002</v>
      </c>
      <c r="P244" s="95">
        <f t="shared" si="223"/>
        <v>1612.65</v>
      </c>
      <c r="Q244" s="98">
        <f t="shared" si="224"/>
        <v>2902.7700000000004</v>
      </c>
      <c r="R244" s="99"/>
    </row>
    <row r="245" spans="1:18" x14ac:dyDescent="0.3">
      <c r="A245" s="86" t="str">
        <f>IF(TRIM(H245)&lt;&gt;"",COUNTA(H$9:$H245)&amp;"","")</f>
        <v>143</v>
      </c>
      <c r="B245" s="242"/>
      <c r="C245" s="263"/>
      <c r="D245" s="260"/>
      <c r="E245" s="89" t="s">
        <v>329</v>
      </c>
      <c r="F245" s="90">
        <v>827</v>
      </c>
      <c r="H245" s="91" t="s">
        <v>184</v>
      </c>
      <c r="I245" s="92">
        <f t="shared" si="218"/>
        <v>0</v>
      </c>
      <c r="J245" s="93">
        <f t="shared" si="219"/>
        <v>827</v>
      </c>
      <c r="K245" s="94">
        <v>0.84</v>
      </c>
      <c r="L245" s="95">
        <f t="shared" si="220"/>
        <v>694.68</v>
      </c>
      <c r="M245" s="96">
        <f t="shared" si="221"/>
        <v>75</v>
      </c>
      <c r="N245" s="97">
        <v>1.3999999999999999E-2</v>
      </c>
      <c r="O245" s="97">
        <f t="shared" si="222"/>
        <v>11.577999999999999</v>
      </c>
      <c r="P245" s="95">
        <f t="shared" si="223"/>
        <v>868.34999999999991</v>
      </c>
      <c r="Q245" s="98">
        <f t="shared" si="224"/>
        <v>1563.0299999999997</v>
      </c>
      <c r="R245" s="99"/>
    </row>
    <row r="246" spans="1:18" x14ac:dyDescent="0.3">
      <c r="A246" s="86" t="str">
        <f>IF(TRIM(H246)&lt;&gt;"",COUNTA(H$9:$H246)&amp;"","")</f>
        <v>144</v>
      </c>
      <c r="B246" s="242"/>
      <c r="C246" s="263"/>
      <c r="D246" s="260"/>
      <c r="E246" s="89" t="s">
        <v>306</v>
      </c>
      <c r="F246" s="90">
        <v>827</v>
      </c>
      <c r="H246" s="91" t="s">
        <v>184</v>
      </c>
      <c r="I246" s="92">
        <f t="shared" ref="I246" si="232">IF(F246=0,"",0)</f>
        <v>0</v>
      </c>
      <c r="J246" s="93">
        <f t="shared" ref="J246" si="233">IF(F246=0,"",F246+(F246*I246))</f>
        <v>827</v>
      </c>
      <c r="K246" s="94">
        <v>1.2</v>
      </c>
      <c r="L246" s="95">
        <f t="shared" ref="L246" si="234">IF(F246=0,"",K246*J246)</f>
        <v>992.4</v>
      </c>
      <c r="M246" s="96">
        <f t="shared" ref="M246" si="235">IF(F246=0,"",M$7)</f>
        <v>75</v>
      </c>
      <c r="N246" s="97">
        <v>0.02</v>
      </c>
      <c r="O246" s="97">
        <f t="shared" ref="O246" si="236">IF(F246=0,"",N246*J246)</f>
        <v>16.54</v>
      </c>
      <c r="P246" s="95">
        <f t="shared" ref="P246" si="237">IF(F246=0,"",O246*M246)</f>
        <v>1240.5</v>
      </c>
      <c r="Q246" s="98">
        <f t="shared" ref="Q246" si="238">IF(F246=0,"",L246+P246)</f>
        <v>2232.9</v>
      </c>
      <c r="R246" s="99"/>
    </row>
    <row r="247" spans="1:18" x14ac:dyDescent="0.3">
      <c r="A247" s="86" t="str">
        <f>IF(TRIM(H247)&lt;&gt;"",COUNTA(H$9:$H247)&amp;"","")</f>
        <v>145</v>
      </c>
      <c r="B247" s="242"/>
      <c r="C247" s="263"/>
      <c r="D247" s="260"/>
      <c r="E247" s="89" t="s">
        <v>320</v>
      </c>
      <c r="F247" s="90">
        <v>79</v>
      </c>
      <c r="G247" s="65">
        <f>39.5*2</f>
        <v>79</v>
      </c>
      <c r="H247" s="91" t="s">
        <v>210</v>
      </c>
      <c r="I247" s="92">
        <f t="shared" si="218"/>
        <v>0</v>
      </c>
      <c r="J247" s="93">
        <f t="shared" si="219"/>
        <v>79</v>
      </c>
      <c r="K247" s="94">
        <v>0.6</v>
      </c>
      <c r="L247" s="95">
        <f t="shared" si="220"/>
        <v>47.4</v>
      </c>
      <c r="M247" s="96">
        <f t="shared" si="221"/>
        <v>75</v>
      </c>
      <c r="N247" s="97">
        <v>0.01</v>
      </c>
      <c r="O247" s="97">
        <f t="shared" si="222"/>
        <v>0.79</v>
      </c>
      <c r="P247" s="95">
        <f t="shared" si="223"/>
        <v>59.25</v>
      </c>
      <c r="Q247" s="98">
        <f t="shared" si="224"/>
        <v>106.65</v>
      </c>
      <c r="R247" s="99"/>
    </row>
    <row r="248" spans="1:18" x14ac:dyDescent="0.3">
      <c r="A248" s="86" t="str">
        <f>IF(TRIM(H248)&lt;&gt;"",COUNTA(H$9:$H248)&amp;"","")</f>
        <v/>
      </c>
      <c r="B248" s="242"/>
      <c r="C248" s="263"/>
      <c r="D248" s="260"/>
      <c r="E248" s="158" t="s">
        <v>332</v>
      </c>
      <c r="F248" s="90"/>
      <c r="G248" s="65">
        <v>75</v>
      </c>
      <c r="H248" s="91"/>
      <c r="I248" s="92" t="str">
        <f t="shared" si="218"/>
        <v/>
      </c>
      <c r="J248" s="93" t="str">
        <f t="shared" si="219"/>
        <v/>
      </c>
      <c r="K248" s="94" t="s">
        <v>549</v>
      </c>
      <c r="L248" s="95" t="str">
        <f t="shared" si="220"/>
        <v/>
      </c>
      <c r="M248" s="96" t="str">
        <f t="shared" si="221"/>
        <v/>
      </c>
      <c r="N248" s="97" t="s">
        <v>549</v>
      </c>
      <c r="O248" s="97" t="str">
        <f t="shared" si="222"/>
        <v/>
      </c>
      <c r="P248" s="95" t="str">
        <f t="shared" si="223"/>
        <v/>
      </c>
      <c r="Q248" s="98" t="str">
        <f t="shared" si="224"/>
        <v/>
      </c>
      <c r="R248" s="99"/>
    </row>
    <row r="249" spans="1:18" x14ac:dyDescent="0.3">
      <c r="A249" s="86" t="str">
        <f>IF(TRIM(H249)&lt;&gt;"",COUNTA(H$9:$H249)&amp;"","")</f>
        <v>146</v>
      </c>
      <c r="B249" s="242"/>
      <c r="C249" s="263"/>
      <c r="D249" s="260"/>
      <c r="E249" s="89" t="s">
        <v>311</v>
      </c>
      <c r="F249" s="90">
        <v>300</v>
      </c>
      <c r="G249" s="65">
        <f>75*4</f>
        <v>300</v>
      </c>
      <c r="H249" s="91" t="s">
        <v>210</v>
      </c>
      <c r="I249" s="92">
        <f t="shared" si="218"/>
        <v>0</v>
      </c>
      <c r="J249" s="93">
        <f t="shared" si="219"/>
        <v>300</v>
      </c>
      <c r="K249" s="94">
        <v>1.92</v>
      </c>
      <c r="L249" s="95">
        <f t="shared" si="220"/>
        <v>576</v>
      </c>
      <c r="M249" s="96">
        <f t="shared" si="221"/>
        <v>75</v>
      </c>
      <c r="N249" s="97">
        <v>3.2000000000000008E-2</v>
      </c>
      <c r="O249" s="97">
        <f t="shared" si="222"/>
        <v>9.6000000000000014</v>
      </c>
      <c r="P249" s="95">
        <f t="shared" si="223"/>
        <v>720.00000000000011</v>
      </c>
      <c r="Q249" s="98">
        <f t="shared" si="224"/>
        <v>1296</v>
      </c>
      <c r="R249" s="99"/>
    </row>
    <row r="250" spans="1:18" x14ac:dyDescent="0.3">
      <c r="A250" s="86" t="str">
        <f>IF(TRIM(H250)&lt;&gt;"",COUNTA(H$9:$H250)&amp;"","")</f>
        <v>147</v>
      </c>
      <c r="B250" s="242"/>
      <c r="C250" s="263"/>
      <c r="D250" s="260"/>
      <c r="E250" s="89" t="s">
        <v>317</v>
      </c>
      <c r="F250" s="90">
        <v>1091</v>
      </c>
      <c r="G250" s="65">
        <f>75/1.33*9.67*2</f>
        <v>1090.6015037593984</v>
      </c>
      <c r="H250" s="91" t="s">
        <v>210</v>
      </c>
      <c r="I250" s="92">
        <f t="shared" si="218"/>
        <v>0</v>
      </c>
      <c r="J250" s="93">
        <f t="shared" si="219"/>
        <v>1091</v>
      </c>
      <c r="K250" s="94">
        <v>1.92</v>
      </c>
      <c r="L250" s="95">
        <f t="shared" si="220"/>
        <v>2094.7199999999998</v>
      </c>
      <c r="M250" s="96">
        <f t="shared" si="221"/>
        <v>75</v>
      </c>
      <c r="N250" s="97">
        <v>3.2000000000000008E-2</v>
      </c>
      <c r="O250" s="97">
        <f t="shared" si="222"/>
        <v>34.912000000000006</v>
      </c>
      <c r="P250" s="95">
        <f t="shared" si="223"/>
        <v>2618.4000000000005</v>
      </c>
      <c r="Q250" s="98">
        <f t="shared" si="224"/>
        <v>4713.1200000000008</v>
      </c>
      <c r="R250" s="99"/>
    </row>
    <row r="251" spans="1:18" x14ac:dyDescent="0.3">
      <c r="A251" s="86" t="str">
        <f>IF(TRIM(H251)&lt;&gt;"",COUNTA(H$9:$H251)&amp;"","")</f>
        <v>148</v>
      </c>
      <c r="B251" s="242"/>
      <c r="C251" s="263"/>
      <c r="D251" s="260"/>
      <c r="E251" s="89" t="s">
        <v>319</v>
      </c>
      <c r="F251" s="90">
        <v>576</v>
      </c>
      <c r="G251" s="65">
        <f>75*7.67</f>
        <v>575.25</v>
      </c>
      <c r="H251" s="91" t="s">
        <v>184</v>
      </c>
      <c r="I251" s="92">
        <f t="shared" ref="I251" si="239">IF(F251=0,"",0)</f>
        <v>0</v>
      </c>
      <c r="J251" s="93">
        <f t="shared" ref="J251" si="240">IF(F251=0,"",F251+(F251*I251))</f>
        <v>576</v>
      </c>
      <c r="K251" s="94">
        <v>0.78</v>
      </c>
      <c r="L251" s="95">
        <f t="shared" ref="L251" si="241">IF(F251=0,"",K251*J251)</f>
        <v>449.28000000000003</v>
      </c>
      <c r="M251" s="96">
        <f t="shared" ref="M251" si="242">IF(F251=0,"",M$7)</f>
        <v>75</v>
      </c>
      <c r="N251" s="97">
        <v>1.3000000000000001E-2</v>
      </c>
      <c r="O251" s="97">
        <f t="shared" ref="O251" si="243">IF(F251=0,"",N251*J251)</f>
        <v>7.4880000000000004</v>
      </c>
      <c r="P251" s="95">
        <f t="shared" ref="P251" si="244">IF(F251=0,"",O251*M251)</f>
        <v>561.6</v>
      </c>
      <c r="Q251" s="98">
        <f t="shared" ref="Q251" si="245">IF(F251=0,"",L251+P251)</f>
        <v>1010.8800000000001</v>
      </c>
      <c r="R251" s="99"/>
    </row>
    <row r="252" spans="1:18" x14ac:dyDescent="0.3">
      <c r="A252" s="86" t="str">
        <f>IF(TRIM(H252)&lt;&gt;"",COUNTA(H$9:$H252)&amp;"","")</f>
        <v>149</v>
      </c>
      <c r="B252" s="242"/>
      <c r="C252" s="263"/>
      <c r="D252" s="260"/>
      <c r="E252" s="89" t="s">
        <v>333</v>
      </c>
      <c r="F252" s="90">
        <v>576</v>
      </c>
      <c r="G252" s="65">
        <f>75*7.67</f>
        <v>575.25</v>
      </c>
      <c r="H252" s="91" t="s">
        <v>184</v>
      </c>
      <c r="I252" s="92">
        <f t="shared" si="218"/>
        <v>0</v>
      </c>
      <c r="J252" s="93">
        <f t="shared" si="219"/>
        <v>576</v>
      </c>
      <c r="K252" s="94">
        <v>0.89999999999999991</v>
      </c>
      <c r="L252" s="95">
        <f t="shared" si="220"/>
        <v>518.4</v>
      </c>
      <c r="M252" s="96">
        <f t="shared" si="221"/>
        <v>75</v>
      </c>
      <c r="N252" s="97">
        <v>1.5000000000000003E-2</v>
      </c>
      <c r="O252" s="97">
        <f t="shared" si="222"/>
        <v>8.6400000000000023</v>
      </c>
      <c r="P252" s="95">
        <f t="shared" si="223"/>
        <v>648.00000000000023</v>
      </c>
      <c r="Q252" s="98">
        <f t="shared" si="224"/>
        <v>1166.4000000000001</v>
      </c>
      <c r="R252" s="99"/>
    </row>
    <row r="253" spans="1:18" x14ac:dyDescent="0.3">
      <c r="A253" s="86" t="str">
        <f>IF(TRIM(H253)&lt;&gt;"",COUNTA(H$9:$H253)&amp;"","")</f>
        <v>150</v>
      </c>
      <c r="B253" s="242"/>
      <c r="C253" s="263"/>
      <c r="D253" s="260"/>
      <c r="E253" s="89" t="s">
        <v>305</v>
      </c>
      <c r="F253" s="90">
        <v>576</v>
      </c>
      <c r="G253" s="65">
        <f>75*7.67</f>
        <v>575.25</v>
      </c>
      <c r="H253" s="91" t="s">
        <v>184</v>
      </c>
      <c r="I253" s="92">
        <f t="shared" si="218"/>
        <v>0</v>
      </c>
      <c r="J253" s="93">
        <f t="shared" si="219"/>
        <v>576</v>
      </c>
      <c r="K253" s="94">
        <v>1.68</v>
      </c>
      <c r="L253" s="95">
        <f t="shared" si="220"/>
        <v>967.68</v>
      </c>
      <c r="M253" s="96">
        <f t="shared" si="221"/>
        <v>75</v>
      </c>
      <c r="N253" s="97">
        <v>2.7999999999999997E-2</v>
      </c>
      <c r="O253" s="97">
        <f t="shared" si="222"/>
        <v>16.128</v>
      </c>
      <c r="P253" s="95">
        <f t="shared" si="223"/>
        <v>1209.5999999999999</v>
      </c>
      <c r="Q253" s="98">
        <f t="shared" si="224"/>
        <v>2177.2799999999997</v>
      </c>
      <c r="R253" s="99"/>
    </row>
    <row r="254" spans="1:18" x14ac:dyDescent="0.3">
      <c r="A254" s="86" t="str">
        <f>IF(TRIM(H254)&lt;&gt;"",COUNTA(H$9:$H254)&amp;"","")</f>
        <v>151</v>
      </c>
      <c r="B254" s="242"/>
      <c r="C254" s="263"/>
      <c r="D254" s="260"/>
      <c r="E254" s="89" t="s">
        <v>334</v>
      </c>
      <c r="F254" s="90">
        <v>576</v>
      </c>
      <c r="G254" s="65">
        <f>75*7.67</f>
        <v>575.25</v>
      </c>
      <c r="H254" s="91" t="s">
        <v>184</v>
      </c>
      <c r="I254" s="92">
        <f t="shared" si="218"/>
        <v>0</v>
      </c>
      <c r="J254" s="93">
        <f t="shared" si="219"/>
        <v>576</v>
      </c>
      <c r="K254" s="94">
        <v>1.2</v>
      </c>
      <c r="L254" s="95">
        <f t="shared" si="220"/>
        <v>691.19999999999993</v>
      </c>
      <c r="M254" s="96">
        <f t="shared" si="221"/>
        <v>75</v>
      </c>
      <c r="N254" s="97">
        <v>0.02</v>
      </c>
      <c r="O254" s="97">
        <f t="shared" si="222"/>
        <v>11.52</v>
      </c>
      <c r="P254" s="95">
        <f t="shared" si="223"/>
        <v>864</v>
      </c>
      <c r="Q254" s="98">
        <f t="shared" si="224"/>
        <v>1555.1999999999998</v>
      </c>
      <c r="R254" s="99"/>
    </row>
    <row r="255" spans="1:18" x14ac:dyDescent="0.3">
      <c r="A255" s="86" t="str">
        <f>IF(TRIM(H255)&lt;&gt;"",COUNTA(H$9:$H255)&amp;"","")</f>
        <v>152</v>
      </c>
      <c r="B255" s="243"/>
      <c r="C255" s="264"/>
      <c r="D255" s="261"/>
      <c r="E255" s="89" t="s">
        <v>308</v>
      </c>
      <c r="F255" s="90">
        <v>300</v>
      </c>
      <c r="G255" s="65">
        <f>75*4</f>
        <v>300</v>
      </c>
      <c r="H255" s="91" t="s">
        <v>210</v>
      </c>
      <c r="I255" s="92">
        <f t="shared" si="186"/>
        <v>0</v>
      </c>
      <c r="J255" s="93">
        <f t="shared" si="187"/>
        <v>300</v>
      </c>
      <c r="K255" s="94">
        <v>0.6</v>
      </c>
      <c r="L255" s="95">
        <f t="shared" si="189"/>
        <v>180</v>
      </c>
      <c r="M255" s="96">
        <f t="shared" si="190"/>
        <v>75</v>
      </c>
      <c r="N255" s="97">
        <v>0.01</v>
      </c>
      <c r="O255" s="97">
        <f t="shared" si="192"/>
        <v>3</v>
      </c>
      <c r="P255" s="95">
        <f t="shared" si="193"/>
        <v>225</v>
      </c>
      <c r="Q255" s="98">
        <f t="shared" si="194"/>
        <v>405</v>
      </c>
      <c r="R255" s="99"/>
    </row>
    <row r="256" spans="1:18" x14ac:dyDescent="0.3">
      <c r="A256" s="86" t="str">
        <f>IF(TRIM(H256)&lt;&gt;"",COUNTA(H$9:$H256)&amp;"","")</f>
        <v>153</v>
      </c>
      <c r="B256" s="87" t="s">
        <v>335</v>
      </c>
      <c r="C256" s="87"/>
      <c r="D256" s="88"/>
      <c r="E256" s="89" t="s">
        <v>336</v>
      </c>
      <c r="F256" s="90">
        <v>475</v>
      </c>
      <c r="G256" s="65">
        <f>470+0.34*11</f>
        <v>473.74</v>
      </c>
      <c r="H256" s="91" t="s">
        <v>184</v>
      </c>
      <c r="I256" s="92">
        <f t="shared" si="186"/>
        <v>0</v>
      </c>
      <c r="J256" s="93">
        <f t="shared" si="187"/>
        <v>475</v>
      </c>
      <c r="K256" s="94">
        <v>1.68</v>
      </c>
      <c r="L256" s="95">
        <f t="shared" si="189"/>
        <v>798</v>
      </c>
      <c r="M256" s="96">
        <f t="shared" si="190"/>
        <v>75</v>
      </c>
      <c r="N256" s="97">
        <v>2.7999999999999997E-2</v>
      </c>
      <c r="O256" s="97">
        <f t="shared" si="192"/>
        <v>13.299999999999999</v>
      </c>
      <c r="P256" s="95">
        <f t="shared" si="193"/>
        <v>997.49999999999989</v>
      </c>
      <c r="Q256" s="98">
        <f t="shared" si="194"/>
        <v>1795.5</v>
      </c>
      <c r="R256" s="99"/>
    </row>
    <row r="257" spans="1:18" x14ac:dyDescent="0.3">
      <c r="A257" s="86" t="str">
        <f>IF(TRIM(H257)&lt;&gt;"",COUNTA(H$9:$H257)&amp;"","")</f>
        <v>154</v>
      </c>
      <c r="B257" s="87" t="s">
        <v>335</v>
      </c>
      <c r="C257" s="87"/>
      <c r="D257" s="88"/>
      <c r="E257" s="89" t="s">
        <v>334</v>
      </c>
      <c r="F257" s="90">
        <v>75</v>
      </c>
      <c r="H257" s="91" t="s">
        <v>184</v>
      </c>
      <c r="I257" s="92">
        <f t="shared" si="186"/>
        <v>0</v>
      </c>
      <c r="J257" s="93">
        <f t="shared" si="187"/>
        <v>75</v>
      </c>
      <c r="K257" s="94">
        <v>1.2</v>
      </c>
      <c r="L257" s="95">
        <f t="shared" si="189"/>
        <v>90</v>
      </c>
      <c r="M257" s="96">
        <f t="shared" si="190"/>
        <v>75</v>
      </c>
      <c r="N257" s="97">
        <v>0.02</v>
      </c>
      <c r="O257" s="97">
        <f t="shared" si="192"/>
        <v>1.5</v>
      </c>
      <c r="P257" s="95">
        <f t="shared" si="193"/>
        <v>112.5</v>
      </c>
      <c r="Q257" s="98">
        <f t="shared" si="194"/>
        <v>202.5</v>
      </c>
      <c r="R257" s="99"/>
    </row>
    <row r="258" spans="1:18" x14ac:dyDescent="0.3">
      <c r="A258" s="86" t="str">
        <f>IF(TRIM(H258)&lt;&gt;"",COUNTA(H$9:$H258)&amp;"","")</f>
        <v>155</v>
      </c>
      <c r="B258" s="87" t="s">
        <v>354</v>
      </c>
      <c r="C258" s="87" t="s">
        <v>378</v>
      </c>
      <c r="D258" s="88"/>
      <c r="E258" s="89" t="s">
        <v>379</v>
      </c>
      <c r="F258" s="90">
        <v>16</v>
      </c>
      <c r="G258" s="65">
        <f>4*4</f>
        <v>16</v>
      </c>
      <c r="H258" s="91" t="s">
        <v>184</v>
      </c>
      <c r="I258" s="92">
        <f t="shared" si="186"/>
        <v>0</v>
      </c>
      <c r="J258" s="93">
        <f t="shared" si="187"/>
        <v>16</v>
      </c>
      <c r="K258" s="94">
        <v>1.71</v>
      </c>
      <c r="L258" s="95">
        <f t="shared" si="189"/>
        <v>27.36</v>
      </c>
      <c r="M258" s="96">
        <f t="shared" si="190"/>
        <v>75</v>
      </c>
      <c r="N258" s="97">
        <v>2.8500000000000004E-2</v>
      </c>
      <c r="O258" s="97">
        <f t="shared" si="192"/>
        <v>0.45600000000000007</v>
      </c>
      <c r="P258" s="95">
        <f t="shared" si="193"/>
        <v>34.200000000000003</v>
      </c>
      <c r="Q258" s="98">
        <f t="shared" si="194"/>
        <v>61.56</v>
      </c>
      <c r="R258" s="99"/>
    </row>
    <row r="259" spans="1:18" x14ac:dyDescent="0.3">
      <c r="A259" s="86" t="str">
        <f>IF(TRIM(H259)&lt;&gt;"",COUNTA(H$9:$H259)&amp;"","")</f>
        <v>156</v>
      </c>
      <c r="B259" s="87" t="s">
        <v>354</v>
      </c>
      <c r="C259" s="87" t="s">
        <v>399</v>
      </c>
      <c r="D259" s="88"/>
      <c r="E259" s="89" t="s">
        <v>398</v>
      </c>
      <c r="F259" s="90">
        <v>37</v>
      </c>
      <c r="G259" s="65">
        <f>6.5*5.67</f>
        <v>36.854999999999997</v>
      </c>
      <c r="H259" s="91" t="s">
        <v>184</v>
      </c>
      <c r="I259" s="92">
        <f t="shared" si="186"/>
        <v>0</v>
      </c>
      <c r="J259" s="93">
        <f t="shared" si="187"/>
        <v>37</v>
      </c>
      <c r="K259" s="94">
        <v>1.32</v>
      </c>
      <c r="L259" s="95">
        <f t="shared" si="189"/>
        <v>48.84</v>
      </c>
      <c r="M259" s="96">
        <f t="shared" si="190"/>
        <v>75</v>
      </c>
      <c r="N259" s="97">
        <v>2.2000000000000002E-2</v>
      </c>
      <c r="O259" s="97">
        <f t="shared" si="192"/>
        <v>0.81400000000000006</v>
      </c>
      <c r="P259" s="95">
        <f t="shared" si="193"/>
        <v>61.050000000000004</v>
      </c>
      <c r="Q259" s="98">
        <f t="shared" si="194"/>
        <v>109.89000000000001</v>
      </c>
      <c r="R259" s="99"/>
    </row>
    <row r="260" spans="1:18" x14ac:dyDescent="0.3">
      <c r="A260" s="86" t="str">
        <f>IF(TRIM(H260)&lt;&gt;"",COUNTA(H$9:$H260)&amp;"","")</f>
        <v>157</v>
      </c>
      <c r="B260" s="87"/>
      <c r="C260" s="87"/>
      <c r="D260" s="117"/>
      <c r="E260" s="118" t="s">
        <v>54</v>
      </c>
      <c r="F260" s="90">
        <f>((17200/32)*10)/180</f>
        <v>29.861111111111111</v>
      </c>
      <c r="H260" s="91" t="s">
        <v>51</v>
      </c>
      <c r="I260" s="92">
        <f t="shared" si="186"/>
        <v>0</v>
      </c>
      <c r="J260" s="93">
        <f t="shared" si="187"/>
        <v>29.861111111111111</v>
      </c>
      <c r="K260" s="94">
        <v>4.5</v>
      </c>
      <c r="L260" s="95">
        <f t="shared" si="189"/>
        <v>134.375</v>
      </c>
      <c r="M260" s="96">
        <f t="shared" si="190"/>
        <v>75</v>
      </c>
      <c r="N260" s="97">
        <v>7.4999999999999997E-2</v>
      </c>
      <c r="O260" s="97">
        <f t="shared" si="192"/>
        <v>2.239583333333333</v>
      </c>
      <c r="P260" s="95">
        <f t="shared" si="193"/>
        <v>167.96874999999997</v>
      </c>
      <c r="Q260" s="98">
        <f t="shared" si="194"/>
        <v>302.34375</v>
      </c>
      <c r="R260" s="119"/>
    </row>
    <row r="261" spans="1:18" x14ac:dyDescent="0.3">
      <c r="A261" s="86" t="str">
        <f>IF(TRIM(H261)&lt;&gt;"",COUNTA(H$9:$H261)&amp;"","")</f>
        <v>158</v>
      </c>
      <c r="B261" s="87"/>
      <c r="C261" s="87"/>
      <c r="D261" s="117"/>
      <c r="E261" s="118" t="s">
        <v>49</v>
      </c>
      <c r="F261" s="90">
        <f>(17200*0.053)/12</f>
        <v>75.966666666666669</v>
      </c>
      <c r="H261" s="91" t="s">
        <v>52</v>
      </c>
      <c r="I261" s="92">
        <f t="shared" si="186"/>
        <v>0</v>
      </c>
      <c r="J261" s="93">
        <f t="shared" si="187"/>
        <v>75.966666666666669</v>
      </c>
      <c r="K261" s="94">
        <v>36</v>
      </c>
      <c r="L261" s="95">
        <f t="shared" si="189"/>
        <v>2734.8</v>
      </c>
      <c r="M261" s="96">
        <f t="shared" si="190"/>
        <v>75</v>
      </c>
      <c r="N261" s="97">
        <v>0.6</v>
      </c>
      <c r="O261" s="97">
        <f t="shared" si="192"/>
        <v>45.58</v>
      </c>
      <c r="P261" s="95">
        <f t="shared" si="193"/>
        <v>3418.5</v>
      </c>
      <c r="Q261" s="98">
        <f t="shared" si="194"/>
        <v>6153.3</v>
      </c>
      <c r="R261" s="119"/>
    </row>
    <row r="262" spans="1:18" x14ac:dyDescent="0.3">
      <c r="A262" s="86" t="str">
        <f>IF(TRIM(H262)&lt;&gt;"",COUNTA(H$9:$H262)&amp;"","")</f>
        <v>159</v>
      </c>
      <c r="B262" s="87"/>
      <c r="C262" s="87"/>
      <c r="D262" s="117"/>
      <c r="E262" s="118" t="s">
        <v>50</v>
      </c>
      <c r="F262" s="90">
        <f>((17200/32)*45)/244</f>
        <v>99.129098360655732</v>
      </c>
      <c r="H262" s="91" t="s">
        <v>53</v>
      </c>
      <c r="I262" s="92">
        <f t="shared" si="186"/>
        <v>0</v>
      </c>
      <c r="J262" s="93">
        <f t="shared" si="187"/>
        <v>99.129098360655732</v>
      </c>
      <c r="K262" s="94">
        <v>4.3919999999999995</v>
      </c>
      <c r="L262" s="95">
        <f t="shared" si="189"/>
        <v>435.37499999999994</v>
      </c>
      <c r="M262" s="96">
        <f t="shared" si="190"/>
        <v>75</v>
      </c>
      <c r="N262" s="97">
        <v>7.3200000000000001E-2</v>
      </c>
      <c r="O262" s="97">
        <f t="shared" si="192"/>
        <v>7.2562499999999996</v>
      </c>
      <c r="P262" s="95">
        <f t="shared" si="193"/>
        <v>544.21875</v>
      </c>
      <c r="Q262" s="98">
        <f t="shared" si="194"/>
        <v>979.59375</v>
      </c>
      <c r="R262" s="119"/>
    </row>
    <row r="263" spans="1:18" s="116" customFormat="1" ht="19.2" customHeight="1" x14ac:dyDescent="0.3">
      <c r="A263" s="86" t="str">
        <f>IF(TRIM(H263)&lt;&gt;"",COUNTA(H$9:$H263)&amp;"","")</f>
        <v/>
      </c>
      <c r="B263" s="115"/>
      <c r="C263" s="115"/>
      <c r="D263" s="88" t="s">
        <v>111</v>
      </c>
      <c r="E263" s="164" t="s">
        <v>110</v>
      </c>
      <c r="F263" s="90"/>
      <c r="H263" s="91"/>
      <c r="I263" s="92" t="str">
        <f t="shared" si="186"/>
        <v/>
      </c>
      <c r="J263" s="93" t="str">
        <f t="shared" si="187"/>
        <v/>
      </c>
      <c r="K263" s="94" t="s">
        <v>549</v>
      </c>
      <c r="L263" s="95" t="str">
        <f t="shared" si="189"/>
        <v/>
      </c>
      <c r="M263" s="96" t="str">
        <f t="shared" si="190"/>
        <v/>
      </c>
      <c r="N263" s="97" t="s">
        <v>549</v>
      </c>
      <c r="O263" s="97" t="str">
        <f t="shared" si="192"/>
        <v/>
      </c>
      <c r="P263" s="95" t="str">
        <f t="shared" si="193"/>
        <v/>
      </c>
      <c r="Q263" s="98" t="str">
        <f t="shared" si="194"/>
        <v/>
      </c>
      <c r="R263" s="99"/>
    </row>
    <row r="264" spans="1:18" ht="55.2" x14ac:dyDescent="0.3">
      <c r="A264" s="86" t="str">
        <f>IF(TRIM(H264)&lt;&gt;"",COUNTA(H$9:$H264)&amp;"","")</f>
        <v>160</v>
      </c>
      <c r="B264" s="87" t="s">
        <v>482</v>
      </c>
      <c r="C264" s="87"/>
      <c r="D264" s="87" t="s">
        <v>485</v>
      </c>
      <c r="E264" s="89" t="s">
        <v>490</v>
      </c>
      <c r="F264" s="90">
        <v>150</v>
      </c>
      <c r="G264" s="65">
        <f>150/1.33</f>
        <v>112.78195488721803</v>
      </c>
      <c r="H264" s="91" t="s">
        <v>184</v>
      </c>
      <c r="I264" s="92">
        <f t="shared" si="186"/>
        <v>0</v>
      </c>
      <c r="J264" s="93">
        <f t="shared" si="187"/>
        <v>150</v>
      </c>
      <c r="K264" s="94">
        <v>5.6736090225563913</v>
      </c>
      <c r="L264" s="95">
        <f t="shared" si="189"/>
        <v>851.04135338345873</v>
      </c>
      <c r="M264" s="96">
        <f t="shared" si="190"/>
        <v>75</v>
      </c>
      <c r="N264" s="97">
        <v>9.4560150375939858E-2</v>
      </c>
      <c r="O264" s="97">
        <f t="shared" si="192"/>
        <v>14.184022556390978</v>
      </c>
      <c r="P264" s="95">
        <f t="shared" si="193"/>
        <v>1063.8016917293235</v>
      </c>
      <c r="Q264" s="98">
        <f t="shared" si="194"/>
        <v>1914.8430451127822</v>
      </c>
      <c r="R264" s="99"/>
    </row>
    <row r="265" spans="1:18" s="116" customFormat="1" ht="19.2" customHeight="1" x14ac:dyDescent="0.3">
      <c r="A265" s="86" t="str">
        <f>IF(TRIM(H265)&lt;&gt;"",COUNTA(H$9:$H265)&amp;"","")</f>
        <v/>
      </c>
      <c r="B265" s="115"/>
      <c r="C265" s="115"/>
      <c r="D265" s="88">
        <v>93013</v>
      </c>
      <c r="E265" s="164" t="s">
        <v>112</v>
      </c>
      <c r="F265" s="90"/>
      <c r="H265" s="91"/>
      <c r="I265" s="92" t="str">
        <f t="shared" si="186"/>
        <v/>
      </c>
      <c r="J265" s="93" t="str">
        <f t="shared" si="187"/>
        <v/>
      </c>
      <c r="K265" s="94" t="s">
        <v>549</v>
      </c>
      <c r="L265" s="95" t="str">
        <f t="shared" si="189"/>
        <v/>
      </c>
      <c r="M265" s="96" t="str">
        <f t="shared" si="190"/>
        <v/>
      </c>
      <c r="N265" s="97" t="s">
        <v>549</v>
      </c>
      <c r="O265" s="97" t="str">
        <f t="shared" si="192"/>
        <v/>
      </c>
      <c r="P265" s="95" t="str">
        <f t="shared" si="193"/>
        <v/>
      </c>
      <c r="Q265" s="98" t="str">
        <f t="shared" si="194"/>
        <v/>
      </c>
      <c r="R265" s="99"/>
    </row>
    <row r="266" spans="1:18" x14ac:dyDescent="0.3">
      <c r="A266" s="86" t="str">
        <f>IF(TRIM(H266)&lt;&gt;"",COUNTA(H$9:$H266)&amp;"","")</f>
        <v>161</v>
      </c>
      <c r="B266" s="87" t="s">
        <v>491</v>
      </c>
      <c r="C266" s="87" t="s">
        <v>492</v>
      </c>
      <c r="D266" s="88"/>
      <c r="E266" s="89" t="s">
        <v>504</v>
      </c>
      <c r="F266" s="90">
        <v>505</v>
      </c>
      <c r="G266" s="65">
        <f>6*40+262</f>
        <v>502</v>
      </c>
      <c r="H266" s="91" t="s">
        <v>184</v>
      </c>
      <c r="I266" s="92">
        <f t="shared" si="186"/>
        <v>0</v>
      </c>
      <c r="J266" s="93">
        <f t="shared" si="187"/>
        <v>505</v>
      </c>
      <c r="K266" s="94">
        <v>12</v>
      </c>
      <c r="L266" s="95">
        <f t="shared" si="189"/>
        <v>6060</v>
      </c>
      <c r="M266" s="96">
        <f t="shared" si="190"/>
        <v>75</v>
      </c>
      <c r="N266" s="97">
        <v>0.13750000000000001</v>
      </c>
      <c r="O266" s="97">
        <f t="shared" si="192"/>
        <v>69.4375</v>
      </c>
      <c r="P266" s="95">
        <f t="shared" si="193"/>
        <v>5207.8125</v>
      </c>
      <c r="Q266" s="98">
        <f t="shared" si="194"/>
        <v>11267.8125</v>
      </c>
      <c r="R266" s="99"/>
    </row>
    <row r="267" spans="1:18" x14ac:dyDescent="0.3">
      <c r="A267" s="86" t="str">
        <f>IF(TRIM(H267)&lt;&gt;"",COUNTA(H$9:$H267)&amp;"","")</f>
        <v>162</v>
      </c>
      <c r="B267" s="87" t="s">
        <v>491</v>
      </c>
      <c r="C267" s="87"/>
      <c r="D267" s="87" t="s">
        <v>248</v>
      </c>
      <c r="E267" s="89" t="s">
        <v>500</v>
      </c>
      <c r="F267" s="90">
        <v>142</v>
      </c>
      <c r="H267" s="91" t="s">
        <v>210</v>
      </c>
      <c r="I267" s="92">
        <f>IF(F267=0,"",0)</f>
        <v>0</v>
      </c>
      <c r="J267" s="93">
        <f>IF(F267=0,"",F267+(F267*I267))</f>
        <v>142</v>
      </c>
      <c r="K267" s="94">
        <v>2.0999999999999996</v>
      </c>
      <c r="L267" s="95">
        <f>IF(F267=0,"",K267*J267)</f>
        <v>298.19999999999993</v>
      </c>
      <c r="M267" s="96">
        <f>IF(F267=0,"",M$7)</f>
        <v>75</v>
      </c>
      <c r="N267" s="97">
        <v>3.5000000000000003E-2</v>
      </c>
      <c r="O267" s="97">
        <f>IF(F267=0,"",N267*J267)</f>
        <v>4.9700000000000006</v>
      </c>
      <c r="P267" s="95">
        <f>IF(F267=0,"",O267*M267)</f>
        <v>372.75000000000006</v>
      </c>
      <c r="Q267" s="98">
        <f>IF(F267=0,"",L267+P267)</f>
        <v>670.95</v>
      </c>
      <c r="R267" s="99"/>
    </row>
    <row r="268" spans="1:18" s="116" customFormat="1" ht="19.2" customHeight="1" x14ac:dyDescent="0.3">
      <c r="A268" s="86" t="str">
        <f>IF(TRIM(H268)&lt;&gt;"",COUNTA(H$9:$H268)&amp;"","")</f>
        <v/>
      </c>
      <c r="B268" s="115"/>
      <c r="C268" s="115"/>
      <c r="D268" s="88"/>
      <c r="E268" s="164" t="s">
        <v>505</v>
      </c>
      <c r="F268" s="90"/>
      <c r="H268" s="91"/>
      <c r="I268" s="92" t="str">
        <f t="shared" si="186"/>
        <v/>
      </c>
      <c r="J268" s="93" t="str">
        <f t="shared" si="187"/>
        <v/>
      </c>
      <c r="K268" s="94" t="s">
        <v>549</v>
      </c>
      <c r="L268" s="95" t="str">
        <f t="shared" si="189"/>
        <v/>
      </c>
      <c r="M268" s="96" t="str">
        <f t="shared" si="190"/>
        <v/>
      </c>
      <c r="N268" s="97" t="s">
        <v>549</v>
      </c>
      <c r="O268" s="97" t="str">
        <f t="shared" si="192"/>
        <v/>
      </c>
      <c r="P268" s="95" t="str">
        <f t="shared" si="193"/>
        <v/>
      </c>
      <c r="Q268" s="98" t="str">
        <f t="shared" si="194"/>
        <v/>
      </c>
      <c r="R268" s="99"/>
    </row>
    <row r="269" spans="1:18" ht="27.6" x14ac:dyDescent="0.3">
      <c r="A269" s="86" t="str">
        <f>IF(TRIM(H269)&lt;&gt;"",COUNTA(H$9:$H269)&amp;"","")</f>
        <v>163</v>
      </c>
      <c r="B269" s="241" t="s">
        <v>464</v>
      </c>
      <c r="C269" s="241" t="s">
        <v>507</v>
      </c>
      <c r="D269" s="259"/>
      <c r="E269" s="89" t="s">
        <v>506</v>
      </c>
      <c r="F269" s="90">
        <v>185</v>
      </c>
      <c r="H269" s="91" t="s">
        <v>210</v>
      </c>
      <c r="I269" s="92">
        <f t="shared" si="186"/>
        <v>0</v>
      </c>
      <c r="J269" s="93">
        <f t="shared" si="187"/>
        <v>185</v>
      </c>
      <c r="K269" s="94">
        <v>8.6999999999999993</v>
      </c>
      <c r="L269" s="95">
        <f t="shared" si="189"/>
        <v>1609.4999999999998</v>
      </c>
      <c r="M269" s="96">
        <f t="shared" si="190"/>
        <v>75</v>
      </c>
      <c r="N269" s="97">
        <v>0.14500000000000002</v>
      </c>
      <c r="O269" s="97">
        <f t="shared" si="192"/>
        <v>26.825000000000003</v>
      </c>
      <c r="P269" s="95">
        <f t="shared" si="193"/>
        <v>2011.8750000000002</v>
      </c>
      <c r="Q269" s="98">
        <f t="shared" si="194"/>
        <v>3621.375</v>
      </c>
      <c r="R269" s="99"/>
    </row>
    <row r="270" spans="1:18" x14ac:dyDescent="0.3">
      <c r="A270" s="86" t="str">
        <f>IF(TRIM(H270)&lt;&gt;"",COUNTA(H$9:$H270)&amp;"","")</f>
        <v>164</v>
      </c>
      <c r="B270" s="242"/>
      <c r="C270" s="242"/>
      <c r="D270" s="260"/>
      <c r="E270" s="89" t="s">
        <v>508</v>
      </c>
      <c r="F270" s="90">
        <v>317</v>
      </c>
      <c r="G270" s="65">
        <f>216+151*0.67</f>
        <v>317.17</v>
      </c>
      <c r="H270" s="91" t="s">
        <v>184</v>
      </c>
      <c r="I270" s="92">
        <f t="shared" si="186"/>
        <v>0</v>
      </c>
      <c r="J270" s="93">
        <f t="shared" si="187"/>
        <v>317</v>
      </c>
      <c r="K270" s="94">
        <v>12.85</v>
      </c>
      <c r="L270" s="95">
        <f t="shared" si="189"/>
        <v>4073.45</v>
      </c>
      <c r="M270" s="96">
        <f t="shared" si="190"/>
        <v>75</v>
      </c>
      <c r="N270" s="97">
        <v>0.13750000000000001</v>
      </c>
      <c r="O270" s="97">
        <f t="shared" si="192"/>
        <v>43.587500000000006</v>
      </c>
      <c r="P270" s="95">
        <f t="shared" si="193"/>
        <v>3269.0625000000005</v>
      </c>
      <c r="Q270" s="98">
        <f t="shared" si="194"/>
        <v>7342.5125000000007</v>
      </c>
      <c r="R270" s="99"/>
    </row>
    <row r="271" spans="1:18" x14ac:dyDescent="0.3">
      <c r="A271" s="86" t="str">
        <f>IF(TRIM(H271)&lt;&gt;"",COUNTA(H$9:$H271)&amp;"","")</f>
        <v>165</v>
      </c>
      <c r="B271" s="243"/>
      <c r="C271" s="243"/>
      <c r="D271" s="261"/>
      <c r="E271" s="89" t="s">
        <v>509</v>
      </c>
      <c r="F271" s="90">
        <v>2105</v>
      </c>
      <c r="G271" s="65">
        <f>2094+26*0.4167</f>
        <v>2104.8341999999998</v>
      </c>
      <c r="H271" s="91" t="s">
        <v>184</v>
      </c>
      <c r="I271" s="92">
        <f t="shared" si="186"/>
        <v>0</v>
      </c>
      <c r="J271" s="93">
        <f t="shared" si="187"/>
        <v>2105</v>
      </c>
      <c r="K271" s="94">
        <v>5.1419999999999995</v>
      </c>
      <c r="L271" s="95">
        <f t="shared" si="189"/>
        <v>10823.909999999998</v>
      </c>
      <c r="M271" s="96">
        <f t="shared" si="190"/>
        <v>75</v>
      </c>
      <c r="N271" s="97">
        <v>8.5700000000000012E-2</v>
      </c>
      <c r="O271" s="97">
        <f t="shared" si="192"/>
        <v>180.39850000000001</v>
      </c>
      <c r="P271" s="95">
        <f t="shared" si="193"/>
        <v>13529.887500000001</v>
      </c>
      <c r="Q271" s="98">
        <f t="shared" si="194"/>
        <v>24353.797500000001</v>
      </c>
      <c r="R271" s="99"/>
    </row>
    <row r="272" spans="1:18" s="116" customFormat="1" ht="19.2" customHeight="1" x14ac:dyDescent="0.3">
      <c r="A272" s="86" t="str">
        <f>IF(TRIM(H272)&lt;&gt;"",COUNTA(H$9:$H272)&amp;"","")</f>
        <v/>
      </c>
      <c r="B272" s="115"/>
      <c r="C272" s="115"/>
      <c r="D272" s="88" t="s">
        <v>114</v>
      </c>
      <c r="E272" s="164" t="s">
        <v>113</v>
      </c>
      <c r="F272" s="90"/>
      <c r="H272" s="91"/>
      <c r="I272" s="92" t="str">
        <f t="shared" si="186"/>
        <v/>
      </c>
      <c r="J272" s="93" t="str">
        <f t="shared" si="187"/>
        <v/>
      </c>
      <c r="K272" s="94" t="s">
        <v>549</v>
      </c>
      <c r="L272" s="95" t="str">
        <f t="shared" si="189"/>
        <v/>
      </c>
      <c r="M272" s="96" t="str">
        <f t="shared" si="190"/>
        <v/>
      </c>
      <c r="N272" s="97" t="s">
        <v>549</v>
      </c>
      <c r="O272" s="97" t="str">
        <f t="shared" si="192"/>
        <v/>
      </c>
      <c r="P272" s="95" t="str">
        <f t="shared" si="193"/>
        <v/>
      </c>
      <c r="Q272" s="98" t="str">
        <f t="shared" si="194"/>
        <v/>
      </c>
      <c r="R272" s="99"/>
    </row>
    <row r="273" spans="1:18" x14ac:dyDescent="0.3">
      <c r="A273" s="86" t="str">
        <f>IF(TRIM(H273)&lt;&gt;"",COUNTA(H$9:$H273)&amp;"","")</f>
        <v>166</v>
      </c>
      <c r="B273" s="87" t="s">
        <v>335</v>
      </c>
      <c r="C273" s="87"/>
      <c r="D273" s="88"/>
      <c r="E273" s="89" t="s">
        <v>339</v>
      </c>
      <c r="F273" s="90">
        <v>96</v>
      </c>
      <c r="H273" s="91" t="s">
        <v>184</v>
      </c>
      <c r="I273" s="92">
        <f t="shared" si="186"/>
        <v>0</v>
      </c>
      <c r="J273" s="93">
        <f t="shared" si="187"/>
        <v>96</v>
      </c>
      <c r="K273" s="94">
        <v>4.5</v>
      </c>
      <c r="L273" s="95">
        <f t="shared" si="189"/>
        <v>432</v>
      </c>
      <c r="M273" s="96">
        <f t="shared" si="190"/>
        <v>75</v>
      </c>
      <c r="N273" s="97">
        <v>7.4999999999999997E-2</v>
      </c>
      <c r="O273" s="97">
        <f t="shared" si="192"/>
        <v>7.1999999999999993</v>
      </c>
      <c r="P273" s="95">
        <f t="shared" si="193"/>
        <v>540</v>
      </c>
      <c r="Q273" s="98">
        <f t="shared" si="194"/>
        <v>972</v>
      </c>
      <c r="R273" s="99"/>
    </row>
    <row r="274" spans="1:18" s="116" customFormat="1" ht="19.2" customHeight="1" x14ac:dyDescent="0.3">
      <c r="A274" s="86" t="str">
        <f>IF(TRIM(H274)&lt;&gt;"",COUNTA(H$9:$H274)&amp;"","")</f>
        <v/>
      </c>
      <c r="B274" s="115"/>
      <c r="C274" s="115"/>
      <c r="D274" s="88" t="s">
        <v>215</v>
      </c>
      <c r="E274" s="164" t="s">
        <v>216</v>
      </c>
      <c r="F274" s="90"/>
      <c r="H274" s="91"/>
      <c r="I274" s="92" t="str">
        <f t="shared" ref="I274:I275" si="246">IF(F274=0,"",0)</f>
        <v/>
      </c>
      <c r="J274" s="93" t="str">
        <f t="shared" ref="J274:J275" si="247">IF(F274=0,"",F274+(F274*I274))</f>
        <v/>
      </c>
      <c r="K274" s="94" t="s">
        <v>549</v>
      </c>
      <c r="L274" s="95" t="str">
        <f t="shared" ref="L274:L275" si="248">IF(F274=0,"",K274*J274)</f>
        <v/>
      </c>
      <c r="M274" s="96" t="str">
        <f t="shared" ref="M274:M275" si="249">IF(F274=0,"",M$7)</f>
        <v/>
      </c>
      <c r="N274" s="97" t="s">
        <v>549</v>
      </c>
      <c r="O274" s="97" t="str">
        <f t="shared" ref="O274:O275" si="250">IF(F274=0,"",N274*J274)</f>
        <v/>
      </c>
      <c r="P274" s="95" t="str">
        <f t="shared" ref="P274:P275" si="251">IF(F274=0,"",O274*M274)</f>
        <v/>
      </c>
      <c r="Q274" s="98" t="str">
        <f t="shared" ref="Q274:Q275" si="252">IF(F274=0,"",L274+P274)</f>
        <v/>
      </c>
      <c r="R274" s="99"/>
    </row>
    <row r="275" spans="1:18" x14ac:dyDescent="0.3">
      <c r="A275" s="86" t="str">
        <f>IF(TRIM(H275)&lt;&gt;"",COUNTA(H$9:$H275)&amp;"","")</f>
        <v>167</v>
      </c>
      <c r="B275" s="87" t="s">
        <v>491</v>
      </c>
      <c r="C275" s="87" t="s">
        <v>492</v>
      </c>
      <c r="D275" s="88"/>
      <c r="E275" s="89" t="s">
        <v>498</v>
      </c>
      <c r="F275" s="90">
        <v>150</v>
      </c>
      <c r="H275" s="91" t="s">
        <v>210</v>
      </c>
      <c r="I275" s="92">
        <f t="shared" si="246"/>
        <v>0</v>
      </c>
      <c r="J275" s="93">
        <f t="shared" si="247"/>
        <v>150</v>
      </c>
      <c r="K275" s="94">
        <v>1.5</v>
      </c>
      <c r="L275" s="95">
        <f t="shared" si="248"/>
        <v>225</v>
      </c>
      <c r="M275" s="96">
        <f t="shared" si="249"/>
        <v>75</v>
      </c>
      <c r="N275" s="97">
        <v>2.5000000000000001E-2</v>
      </c>
      <c r="O275" s="97">
        <f t="shared" si="250"/>
        <v>3.75</v>
      </c>
      <c r="P275" s="95">
        <f t="shared" si="251"/>
        <v>281.25</v>
      </c>
      <c r="Q275" s="98">
        <f t="shared" si="252"/>
        <v>506.25</v>
      </c>
      <c r="R275" s="99"/>
    </row>
    <row r="276" spans="1:18" s="116" customFormat="1" ht="19.2" customHeight="1" x14ac:dyDescent="0.3">
      <c r="A276" s="86" t="str">
        <f>IF(TRIM(H276)&lt;&gt;"",COUNTA(H$9:$H276)&amp;"","")</f>
        <v/>
      </c>
      <c r="B276" s="115"/>
      <c r="C276" s="115"/>
      <c r="D276" s="88" t="s">
        <v>116</v>
      </c>
      <c r="E276" s="164" t="s">
        <v>115</v>
      </c>
      <c r="F276" s="90"/>
      <c r="H276" s="91"/>
      <c r="I276" s="92" t="str">
        <f t="shared" si="186"/>
        <v/>
      </c>
      <c r="J276" s="93" t="str">
        <f t="shared" si="187"/>
        <v/>
      </c>
      <c r="K276" s="94" t="s">
        <v>549</v>
      </c>
      <c r="L276" s="95" t="str">
        <f t="shared" si="189"/>
        <v/>
      </c>
      <c r="M276" s="96" t="str">
        <f t="shared" si="190"/>
        <v/>
      </c>
      <c r="N276" s="97" t="s">
        <v>549</v>
      </c>
      <c r="O276" s="97" t="str">
        <f t="shared" si="192"/>
        <v/>
      </c>
      <c r="P276" s="95" t="str">
        <f t="shared" si="193"/>
        <v/>
      </c>
      <c r="Q276" s="98" t="str">
        <f t="shared" si="194"/>
        <v/>
      </c>
      <c r="R276" s="99"/>
    </row>
    <row r="277" spans="1:18" ht="27.6" x14ac:dyDescent="0.3">
      <c r="A277" s="86" t="str">
        <f>IF(TRIM(H277)&lt;&gt;"",COUNTA(H$9:$H277)&amp;"","")</f>
        <v>168</v>
      </c>
      <c r="B277" s="241" t="s">
        <v>491</v>
      </c>
      <c r="C277" s="262" t="s">
        <v>492</v>
      </c>
      <c r="D277" s="259"/>
      <c r="E277" s="89" t="s">
        <v>493</v>
      </c>
      <c r="F277" s="90">
        <v>2775</v>
      </c>
      <c r="H277" s="91" t="s">
        <v>184</v>
      </c>
      <c r="I277" s="92">
        <f t="shared" si="186"/>
        <v>0</v>
      </c>
      <c r="J277" s="93">
        <f t="shared" si="187"/>
        <v>2775</v>
      </c>
      <c r="K277" s="94">
        <v>2.2799999999999998</v>
      </c>
      <c r="L277" s="95">
        <f t="shared" si="189"/>
        <v>6326.9999999999991</v>
      </c>
      <c r="M277" s="96">
        <f t="shared" si="190"/>
        <v>75</v>
      </c>
      <c r="N277" s="97">
        <v>3.7999999999999999E-2</v>
      </c>
      <c r="O277" s="97">
        <f t="shared" si="192"/>
        <v>105.45</v>
      </c>
      <c r="P277" s="95">
        <f t="shared" si="193"/>
        <v>7908.75</v>
      </c>
      <c r="Q277" s="98">
        <f t="shared" si="194"/>
        <v>14235.75</v>
      </c>
      <c r="R277" s="99"/>
    </row>
    <row r="278" spans="1:18" ht="41.4" x14ac:dyDescent="0.3">
      <c r="A278" s="86" t="str">
        <f>IF(TRIM(H278)&lt;&gt;"",COUNTA(H$9:$H278)&amp;"","")</f>
        <v>169</v>
      </c>
      <c r="B278" s="242"/>
      <c r="C278" s="263"/>
      <c r="D278" s="260"/>
      <c r="E278" s="89" t="s">
        <v>494</v>
      </c>
      <c r="F278" s="90">
        <v>1700</v>
      </c>
      <c r="H278" s="91" t="s">
        <v>184</v>
      </c>
      <c r="I278" s="92">
        <f t="shared" si="186"/>
        <v>0</v>
      </c>
      <c r="J278" s="93">
        <f t="shared" si="187"/>
        <v>1700</v>
      </c>
      <c r="K278" s="94">
        <v>2.04</v>
      </c>
      <c r="L278" s="95">
        <f t="shared" si="189"/>
        <v>3468</v>
      </c>
      <c r="M278" s="96">
        <f t="shared" si="190"/>
        <v>75</v>
      </c>
      <c r="N278" s="97">
        <v>3.4000000000000002E-2</v>
      </c>
      <c r="O278" s="97">
        <f t="shared" si="192"/>
        <v>57.800000000000004</v>
      </c>
      <c r="P278" s="95">
        <f t="shared" si="193"/>
        <v>4335</v>
      </c>
      <c r="Q278" s="98">
        <f t="shared" si="194"/>
        <v>7803</v>
      </c>
      <c r="R278" s="99"/>
    </row>
    <row r="279" spans="1:18" x14ac:dyDescent="0.3">
      <c r="A279" s="86" t="str">
        <f>IF(TRIM(H279)&lt;&gt;"",COUNTA(H$9:$H279)&amp;"","")</f>
        <v>170</v>
      </c>
      <c r="B279" s="242"/>
      <c r="C279" s="263"/>
      <c r="D279" s="260"/>
      <c r="E279" s="89" t="s">
        <v>495</v>
      </c>
      <c r="F279" s="90">
        <v>575</v>
      </c>
      <c r="H279" s="91" t="s">
        <v>184</v>
      </c>
      <c r="I279" s="92">
        <f t="shared" si="186"/>
        <v>0</v>
      </c>
      <c r="J279" s="93">
        <f t="shared" si="187"/>
        <v>575</v>
      </c>
      <c r="K279" s="94">
        <v>1.7999999999999998</v>
      </c>
      <c r="L279" s="95">
        <f t="shared" si="189"/>
        <v>1035</v>
      </c>
      <c r="M279" s="96">
        <f t="shared" si="190"/>
        <v>75</v>
      </c>
      <c r="N279" s="97">
        <v>3.0000000000000006E-2</v>
      </c>
      <c r="O279" s="97">
        <f t="shared" si="192"/>
        <v>17.250000000000004</v>
      </c>
      <c r="P279" s="95">
        <f t="shared" si="193"/>
        <v>1293.7500000000002</v>
      </c>
      <c r="Q279" s="98">
        <f t="shared" si="194"/>
        <v>2328.75</v>
      </c>
      <c r="R279" s="99"/>
    </row>
    <row r="280" spans="1:18" x14ac:dyDescent="0.3">
      <c r="A280" s="86" t="str">
        <f>IF(TRIM(H280)&lt;&gt;"",COUNTA(H$9:$H280)&amp;"","")</f>
        <v>171</v>
      </c>
      <c r="B280" s="242"/>
      <c r="C280" s="263"/>
      <c r="D280" s="260"/>
      <c r="E280" s="89" t="s">
        <v>496</v>
      </c>
      <c r="F280" s="90">
        <v>855</v>
      </c>
      <c r="H280" s="91" t="s">
        <v>210</v>
      </c>
      <c r="I280" s="92">
        <f t="shared" ref="I280:I281" si="253">IF(F280=0,"",0)</f>
        <v>0</v>
      </c>
      <c r="J280" s="93">
        <f t="shared" ref="J280:J281" si="254">IF(F280=0,"",F280+(F280*I280))</f>
        <v>855</v>
      </c>
      <c r="K280" s="94">
        <v>1.38</v>
      </c>
      <c r="L280" s="95">
        <f t="shared" ref="L280:L281" si="255">IF(F280=0,"",K280*J280)</f>
        <v>1179.8999999999999</v>
      </c>
      <c r="M280" s="96">
        <f t="shared" ref="M280:M281" si="256">IF(F280=0,"",M$7)</f>
        <v>75</v>
      </c>
      <c r="N280" s="97">
        <v>2.3E-2</v>
      </c>
      <c r="O280" s="97">
        <f t="shared" ref="O280:O281" si="257">IF(F280=0,"",N280*J280)</f>
        <v>19.664999999999999</v>
      </c>
      <c r="P280" s="95">
        <f t="shared" ref="P280:P281" si="258">IF(F280=0,"",O280*M280)</f>
        <v>1474.875</v>
      </c>
      <c r="Q280" s="98">
        <f t="shared" ref="Q280:Q281" si="259">IF(F280=0,"",L280+P280)</f>
        <v>2654.7749999999996</v>
      </c>
      <c r="R280" s="99"/>
    </row>
    <row r="281" spans="1:18" x14ac:dyDescent="0.3">
      <c r="A281" s="86" t="str">
        <f>IF(TRIM(H281)&lt;&gt;"",COUNTA(H$9:$H281)&amp;"","")</f>
        <v>172</v>
      </c>
      <c r="B281" s="243"/>
      <c r="C281" s="264"/>
      <c r="D281" s="261"/>
      <c r="E281" s="89" t="s">
        <v>499</v>
      </c>
      <c r="F281" s="90">
        <v>77</v>
      </c>
      <c r="H281" s="91" t="s">
        <v>210</v>
      </c>
      <c r="I281" s="92">
        <f t="shared" si="253"/>
        <v>0</v>
      </c>
      <c r="J281" s="93">
        <f t="shared" si="254"/>
        <v>77</v>
      </c>
      <c r="K281" s="94">
        <v>1.44</v>
      </c>
      <c r="L281" s="95">
        <f t="shared" si="255"/>
        <v>110.88</v>
      </c>
      <c r="M281" s="96">
        <f t="shared" si="256"/>
        <v>75</v>
      </c>
      <c r="N281" s="97">
        <v>2.4E-2</v>
      </c>
      <c r="O281" s="97">
        <f t="shared" si="257"/>
        <v>1.8480000000000001</v>
      </c>
      <c r="P281" s="95">
        <f t="shared" si="258"/>
        <v>138.6</v>
      </c>
      <c r="Q281" s="98">
        <f t="shared" si="259"/>
        <v>249.48</v>
      </c>
      <c r="R281" s="99"/>
    </row>
    <row r="282" spans="1:18" s="116" customFormat="1" ht="19.2" customHeight="1" x14ac:dyDescent="0.3">
      <c r="A282" s="86" t="str">
        <f>IF(TRIM(H282)&lt;&gt;"",COUNTA(H$9:$H282)&amp;"","")</f>
        <v/>
      </c>
      <c r="B282" s="115"/>
      <c r="C282" s="115"/>
      <c r="D282" s="88" t="s">
        <v>118</v>
      </c>
      <c r="E282" s="164" t="s">
        <v>117</v>
      </c>
      <c r="F282" s="90"/>
      <c r="H282" s="91"/>
      <c r="I282" s="92" t="str">
        <f t="shared" si="186"/>
        <v/>
      </c>
      <c r="J282" s="93" t="str">
        <f t="shared" si="187"/>
        <v/>
      </c>
      <c r="K282" s="94" t="s">
        <v>549</v>
      </c>
      <c r="L282" s="95" t="str">
        <f t="shared" si="189"/>
        <v/>
      </c>
      <c r="M282" s="96" t="str">
        <f t="shared" si="190"/>
        <v/>
      </c>
      <c r="N282" s="97" t="s">
        <v>549</v>
      </c>
      <c r="O282" s="97" t="str">
        <f t="shared" si="192"/>
        <v/>
      </c>
      <c r="P282" s="95" t="str">
        <f t="shared" si="193"/>
        <v/>
      </c>
      <c r="Q282" s="98" t="str">
        <f t="shared" si="194"/>
        <v/>
      </c>
      <c r="R282" s="99"/>
    </row>
    <row r="283" spans="1:18" x14ac:dyDescent="0.3">
      <c r="A283" s="86" t="str">
        <f>IF(TRIM(H283)&lt;&gt;"",COUNTA(H$9:$H283)&amp;"","")</f>
        <v>173</v>
      </c>
      <c r="B283" s="87" t="s">
        <v>354</v>
      </c>
      <c r="C283" s="87"/>
      <c r="D283" s="87" t="s">
        <v>401</v>
      </c>
      <c r="E283" s="89" t="s">
        <v>400</v>
      </c>
      <c r="F283" s="90">
        <v>470</v>
      </c>
      <c r="G283" s="65">
        <f>37+4*108</f>
        <v>469</v>
      </c>
      <c r="H283" s="91" t="s">
        <v>184</v>
      </c>
      <c r="I283" s="92">
        <f t="shared" si="186"/>
        <v>0</v>
      </c>
      <c r="J283" s="93">
        <f t="shared" si="187"/>
        <v>470</v>
      </c>
      <c r="K283" s="94">
        <v>2.7</v>
      </c>
      <c r="L283" s="95">
        <f t="shared" si="189"/>
        <v>1269</v>
      </c>
      <c r="M283" s="96">
        <f t="shared" si="190"/>
        <v>75</v>
      </c>
      <c r="N283" s="97">
        <v>4.4999999999999998E-2</v>
      </c>
      <c r="O283" s="97">
        <f t="shared" si="192"/>
        <v>21.15</v>
      </c>
      <c r="P283" s="95">
        <f t="shared" si="193"/>
        <v>1586.25</v>
      </c>
      <c r="Q283" s="98">
        <f t="shared" si="194"/>
        <v>2855.25</v>
      </c>
      <c r="R283" s="99"/>
    </row>
    <row r="284" spans="1:18" s="116" customFormat="1" ht="19.2" customHeight="1" x14ac:dyDescent="0.3">
      <c r="A284" s="86" t="str">
        <f>IF(TRIM(H284)&lt;&gt;"",COUNTA(H$9:$H284)&amp;"","")</f>
        <v/>
      </c>
      <c r="B284" s="115"/>
      <c r="C284" s="115"/>
      <c r="D284" s="88" t="s">
        <v>120</v>
      </c>
      <c r="E284" s="164" t="s">
        <v>119</v>
      </c>
      <c r="F284" s="90"/>
      <c r="H284" s="91"/>
      <c r="I284" s="92" t="str">
        <f t="shared" ref="I284:I290" si="260">IF(F284=0,"",0)</f>
        <v/>
      </c>
      <c r="J284" s="93" t="str">
        <f t="shared" ref="J284:J293" si="261">IF(F284=0,"",F284+(F284*I284))</f>
        <v/>
      </c>
      <c r="K284" s="94" t="s">
        <v>549</v>
      </c>
      <c r="L284" s="95" t="str">
        <f t="shared" ref="L284:L293" si="262">IF(F284=0,"",K284*J284)</f>
        <v/>
      </c>
      <c r="M284" s="96" t="str">
        <f t="shared" ref="M284:M293" si="263">IF(F284=0,"",M$7)</f>
        <v/>
      </c>
      <c r="N284" s="97" t="s">
        <v>549</v>
      </c>
      <c r="O284" s="97" t="str">
        <f t="shared" ref="O284:O293" si="264">IF(F284=0,"",N284*J284)</f>
        <v/>
      </c>
      <c r="P284" s="95" t="str">
        <f t="shared" ref="P284:P293" si="265">IF(F284=0,"",O284*M284)</f>
        <v/>
      </c>
      <c r="Q284" s="98" t="str">
        <f t="shared" ref="Q284:Q293" si="266">IF(F284=0,"",L284+P284)</f>
        <v/>
      </c>
      <c r="R284" s="99"/>
    </row>
    <row r="285" spans="1:18" ht="27.6" x14ac:dyDescent="0.3">
      <c r="A285" s="86" t="str">
        <f>IF(TRIM(H285)&lt;&gt;"",COUNTA(H$9:$H285)&amp;"","")</f>
        <v>174</v>
      </c>
      <c r="B285" s="87" t="s">
        <v>409</v>
      </c>
      <c r="C285" s="87"/>
      <c r="D285" s="87" t="s">
        <v>422</v>
      </c>
      <c r="E285" s="89" t="s">
        <v>421</v>
      </c>
      <c r="F285" s="90">
        <v>266</v>
      </c>
      <c r="G285" s="65">
        <f>30.34*8.75</f>
        <v>265.47500000000002</v>
      </c>
      <c r="H285" s="91" t="s">
        <v>184</v>
      </c>
      <c r="I285" s="92">
        <f t="shared" si="260"/>
        <v>0</v>
      </c>
      <c r="J285" s="93">
        <f t="shared" si="261"/>
        <v>266</v>
      </c>
      <c r="K285" s="94">
        <v>3.75</v>
      </c>
      <c r="L285" s="95">
        <f t="shared" si="262"/>
        <v>997.5</v>
      </c>
      <c r="M285" s="96">
        <f t="shared" si="263"/>
        <v>75</v>
      </c>
      <c r="N285" s="97">
        <v>6.25E-2</v>
      </c>
      <c r="O285" s="97">
        <f t="shared" si="264"/>
        <v>16.625</v>
      </c>
      <c r="P285" s="95">
        <f t="shared" si="265"/>
        <v>1246.875</v>
      </c>
      <c r="Q285" s="98">
        <f t="shared" si="266"/>
        <v>2244.375</v>
      </c>
      <c r="R285" s="99"/>
    </row>
    <row r="286" spans="1:18" s="116" customFormat="1" ht="19.2" customHeight="1" x14ac:dyDescent="0.3">
      <c r="A286" s="86" t="str">
        <f>IF(TRIM(H286)&lt;&gt;"",COUNTA(H$9:$H286)&amp;"","")</f>
        <v/>
      </c>
      <c r="B286" s="115"/>
      <c r="C286" s="115"/>
      <c r="D286" s="88" t="s">
        <v>122</v>
      </c>
      <c r="E286" s="164" t="s">
        <v>121</v>
      </c>
      <c r="F286" s="90"/>
      <c r="H286" s="91"/>
      <c r="I286" s="92" t="str">
        <f t="shared" si="260"/>
        <v/>
      </c>
      <c r="J286" s="93" t="str">
        <f t="shared" si="261"/>
        <v/>
      </c>
      <c r="K286" s="94" t="s">
        <v>549</v>
      </c>
      <c r="L286" s="95" t="str">
        <f t="shared" si="262"/>
        <v/>
      </c>
      <c r="M286" s="96" t="str">
        <f t="shared" si="263"/>
        <v/>
      </c>
      <c r="N286" s="97" t="s">
        <v>549</v>
      </c>
      <c r="O286" s="97" t="str">
        <f t="shared" si="264"/>
        <v/>
      </c>
      <c r="P286" s="95" t="str">
        <f t="shared" si="265"/>
        <v/>
      </c>
      <c r="Q286" s="98" t="str">
        <f t="shared" si="266"/>
        <v/>
      </c>
      <c r="R286" s="99"/>
    </row>
    <row r="287" spans="1:18" x14ac:dyDescent="0.3">
      <c r="A287" s="86" t="str">
        <f>IF(TRIM(H287)&lt;&gt;"",COUNTA(H$9:$H287)&amp;"","")</f>
        <v>175</v>
      </c>
      <c r="B287" s="87" t="s">
        <v>335</v>
      </c>
      <c r="C287" s="87"/>
      <c r="D287" s="88"/>
      <c r="E287" s="89" t="s">
        <v>337</v>
      </c>
      <c r="F287" s="90">
        <v>475</v>
      </c>
      <c r="H287" s="91" t="s">
        <v>184</v>
      </c>
      <c r="I287" s="92">
        <f t="shared" si="260"/>
        <v>0</v>
      </c>
      <c r="J287" s="93">
        <f t="shared" si="261"/>
        <v>475</v>
      </c>
      <c r="K287" s="94">
        <v>0.98999999999999988</v>
      </c>
      <c r="L287" s="95">
        <f t="shared" si="262"/>
        <v>470.24999999999994</v>
      </c>
      <c r="M287" s="96">
        <f t="shared" si="263"/>
        <v>75</v>
      </c>
      <c r="N287" s="97">
        <v>1.6500000000000001E-2</v>
      </c>
      <c r="O287" s="97">
        <f t="shared" si="264"/>
        <v>7.8375000000000004</v>
      </c>
      <c r="P287" s="95">
        <f t="shared" si="265"/>
        <v>587.8125</v>
      </c>
      <c r="Q287" s="98">
        <f t="shared" si="266"/>
        <v>1058.0625</v>
      </c>
      <c r="R287" s="99"/>
    </row>
    <row r="288" spans="1:18" x14ac:dyDescent="0.3">
      <c r="A288" s="86" t="str">
        <f>IF(TRIM(H288)&lt;&gt;"",COUNTA(H$9:$H288)&amp;"","")</f>
        <v>176</v>
      </c>
      <c r="B288" s="262" t="s">
        <v>427</v>
      </c>
      <c r="C288" s="262" t="s">
        <v>428</v>
      </c>
      <c r="D288" s="259"/>
      <c r="E288" s="100" t="s">
        <v>458</v>
      </c>
      <c r="F288" s="90">
        <v>24</v>
      </c>
      <c r="H288" s="91" t="s">
        <v>239</v>
      </c>
      <c r="I288" s="92">
        <f t="shared" si="260"/>
        <v>0</v>
      </c>
      <c r="J288" s="93">
        <f t="shared" si="261"/>
        <v>24</v>
      </c>
      <c r="K288" s="94">
        <v>51</v>
      </c>
      <c r="L288" s="95">
        <f t="shared" si="262"/>
        <v>1224</v>
      </c>
      <c r="M288" s="96">
        <f t="shared" si="263"/>
        <v>75</v>
      </c>
      <c r="N288" s="97">
        <v>0.85</v>
      </c>
      <c r="O288" s="97">
        <f t="shared" si="264"/>
        <v>20.399999999999999</v>
      </c>
      <c r="P288" s="95">
        <f t="shared" si="265"/>
        <v>1530</v>
      </c>
      <c r="Q288" s="98">
        <f t="shared" si="266"/>
        <v>2754</v>
      </c>
      <c r="R288" s="99"/>
    </row>
    <row r="289" spans="1:18" x14ac:dyDescent="0.3">
      <c r="A289" s="86" t="str">
        <f>IF(TRIM(H289)&lt;&gt;"",COUNTA(H$9:$H289)&amp;"","")</f>
        <v>177</v>
      </c>
      <c r="B289" s="264"/>
      <c r="C289" s="264"/>
      <c r="D289" s="264"/>
      <c r="E289" s="100" t="s">
        <v>459</v>
      </c>
      <c r="F289" s="90">
        <v>2</v>
      </c>
      <c r="H289" s="91" t="s">
        <v>239</v>
      </c>
      <c r="I289" s="92">
        <f t="shared" si="260"/>
        <v>0</v>
      </c>
      <c r="J289" s="93">
        <f t="shared" si="261"/>
        <v>2</v>
      </c>
      <c r="K289" s="94">
        <v>66</v>
      </c>
      <c r="L289" s="95">
        <f t="shared" si="262"/>
        <v>132</v>
      </c>
      <c r="M289" s="96">
        <f t="shared" si="263"/>
        <v>75</v>
      </c>
      <c r="N289" s="97">
        <v>1.1000000000000001</v>
      </c>
      <c r="O289" s="97">
        <f t="shared" si="264"/>
        <v>2.2000000000000002</v>
      </c>
      <c r="P289" s="95">
        <f t="shared" si="265"/>
        <v>165</v>
      </c>
      <c r="Q289" s="98">
        <f t="shared" si="266"/>
        <v>297</v>
      </c>
      <c r="R289" s="99"/>
    </row>
    <row r="290" spans="1:18" x14ac:dyDescent="0.3">
      <c r="A290" s="86" t="str">
        <f>IF(TRIM(H290)&lt;&gt;"",COUNTA(H$9:$H290)&amp;"","")</f>
        <v>178</v>
      </c>
      <c r="B290" s="87" t="s">
        <v>482</v>
      </c>
      <c r="C290" s="87"/>
      <c r="D290" s="87" t="s">
        <v>487</v>
      </c>
      <c r="E290" s="89" t="s">
        <v>486</v>
      </c>
      <c r="F290" s="90">
        <v>1130</v>
      </c>
      <c r="H290" s="91" t="s">
        <v>184</v>
      </c>
      <c r="I290" s="92">
        <f t="shared" si="260"/>
        <v>0</v>
      </c>
      <c r="J290" s="93">
        <f t="shared" si="261"/>
        <v>1130</v>
      </c>
      <c r="K290" s="94">
        <v>1.1099999999999999</v>
      </c>
      <c r="L290" s="95">
        <f t="shared" si="262"/>
        <v>1254.3</v>
      </c>
      <c r="M290" s="96">
        <f t="shared" si="263"/>
        <v>75</v>
      </c>
      <c r="N290" s="97">
        <v>1.8500000000000003E-2</v>
      </c>
      <c r="O290" s="97">
        <f t="shared" si="264"/>
        <v>20.905000000000001</v>
      </c>
      <c r="P290" s="95">
        <f t="shared" si="265"/>
        <v>1567.875</v>
      </c>
      <c r="Q290" s="98">
        <f t="shared" si="266"/>
        <v>2822.1750000000002</v>
      </c>
      <c r="R290" s="99"/>
    </row>
    <row r="291" spans="1:18" ht="27.6" x14ac:dyDescent="0.3">
      <c r="A291" s="86" t="str">
        <f>IF(TRIM(H291)&lt;&gt;"",COUNTA(H$9:$H291)&amp;"","")</f>
        <v>179</v>
      </c>
      <c r="B291" s="87" t="s">
        <v>491</v>
      </c>
      <c r="C291" s="87" t="s">
        <v>492</v>
      </c>
      <c r="D291" s="88"/>
      <c r="E291" s="89" t="s">
        <v>514</v>
      </c>
      <c r="F291" s="90">
        <v>7815</v>
      </c>
      <c r="G291" s="65">
        <f>3996+2692+1123</f>
        <v>7811</v>
      </c>
      <c r="H291" s="91" t="s">
        <v>184</v>
      </c>
      <c r="I291" s="92">
        <f t="shared" ref="I291:I292" si="267">IF(F291=0,"",0)</f>
        <v>0</v>
      </c>
      <c r="J291" s="93">
        <f t="shared" ref="J291:J292" si="268">IF(F291=0,"",F291+(F291*I291))</f>
        <v>7815</v>
      </c>
      <c r="K291" s="94">
        <v>2.0999999999999996</v>
      </c>
      <c r="L291" s="95">
        <f t="shared" ref="L291:L292" si="269">IF(F291=0,"",K291*J291)</f>
        <v>16411.499999999996</v>
      </c>
      <c r="M291" s="96">
        <f t="shared" ref="M291:M292" si="270">IF(F291=0,"",M$7)</f>
        <v>75</v>
      </c>
      <c r="N291" s="97">
        <v>3.5000000000000003E-2</v>
      </c>
      <c r="O291" s="97">
        <f t="shared" ref="O291:O292" si="271">IF(F291=0,"",N291*J291)</f>
        <v>273.52500000000003</v>
      </c>
      <c r="P291" s="95">
        <f t="shared" ref="P291:P292" si="272">IF(F291=0,"",O291*M291)</f>
        <v>20514.375000000004</v>
      </c>
      <c r="Q291" s="98">
        <f t="shared" ref="Q291:Q292" si="273">IF(F291=0,"",L291+P291)</f>
        <v>36925.875</v>
      </c>
      <c r="R291" s="99"/>
    </row>
    <row r="292" spans="1:18" ht="27.6" x14ac:dyDescent="0.3">
      <c r="A292" s="86" t="str">
        <f>IF(TRIM(H292)&lt;&gt;"",COUNTA(H$9:$H292)&amp;"","")</f>
        <v>180</v>
      </c>
      <c r="B292" s="87" t="s">
        <v>491</v>
      </c>
      <c r="C292" s="87" t="s">
        <v>492</v>
      </c>
      <c r="D292" s="88"/>
      <c r="E292" s="89" t="s">
        <v>501</v>
      </c>
      <c r="F292" s="90">
        <v>16150</v>
      </c>
      <c r="G292" s="65">
        <f>13*20.5+147*19.67+65*10+8.75*158.5+9.5*71.5+8*132.5+87+3*29+11*51+12.5*30+10.67*9+10.34*2.5+11.25*12+18.83*63.5+18.67*20+18.75*34.5+9.677*150+9*8.5+20*20.34+20.67*49.5+19.67*91.5+19.5*19.5+12.5*39.5</f>
        <v>16148.794999999998</v>
      </c>
      <c r="H292" s="91" t="s">
        <v>184</v>
      </c>
      <c r="I292" s="92">
        <f t="shared" si="267"/>
        <v>0</v>
      </c>
      <c r="J292" s="93">
        <f t="shared" si="268"/>
        <v>16150</v>
      </c>
      <c r="K292" s="94">
        <v>0.81</v>
      </c>
      <c r="L292" s="95">
        <f t="shared" si="269"/>
        <v>13081.5</v>
      </c>
      <c r="M292" s="96">
        <f t="shared" si="270"/>
        <v>75</v>
      </c>
      <c r="N292" s="97">
        <v>1.3500000000000002E-2</v>
      </c>
      <c r="O292" s="97">
        <f t="shared" si="271"/>
        <v>218.02500000000003</v>
      </c>
      <c r="P292" s="95">
        <f t="shared" si="272"/>
        <v>16351.875000000002</v>
      </c>
      <c r="Q292" s="98">
        <f t="shared" si="273"/>
        <v>29433.375</v>
      </c>
      <c r="R292" s="99"/>
    </row>
    <row r="293" spans="1:18" ht="15" thickBot="1" x14ac:dyDescent="0.35">
      <c r="A293" s="86" t="str">
        <f>IF(TRIM(H293)&lt;&gt;"",COUNTA(H$9:$H293)&amp;"","")</f>
        <v/>
      </c>
      <c r="B293" s="87"/>
      <c r="C293" s="87"/>
      <c r="D293" s="120"/>
      <c r="E293" s="89"/>
      <c r="F293" s="90"/>
      <c r="H293" s="91"/>
      <c r="I293" s="92" t="str">
        <f t="shared" ref="I293" si="274">IF(F293=0,"",0)</f>
        <v/>
      </c>
      <c r="J293" s="93" t="str">
        <f t="shared" si="261"/>
        <v/>
      </c>
      <c r="K293" s="94" t="str">
        <f t="shared" ref="K293" si="275">IF(F293=0,"",0)</f>
        <v/>
      </c>
      <c r="L293" s="95" t="str">
        <f t="shared" si="262"/>
        <v/>
      </c>
      <c r="M293" s="96" t="str">
        <f t="shared" si="263"/>
        <v/>
      </c>
      <c r="N293" s="97" t="str">
        <f t="shared" ref="N293" si="276">IF(F293=0,"",0)</f>
        <v/>
      </c>
      <c r="O293" s="97" t="str">
        <f t="shared" si="264"/>
        <v/>
      </c>
      <c r="P293" s="95" t="str">
        <f t="shared" si="265"/>
        <v/>
      </c>
      <c r="Q293" s="98" t="str">
        <f t="shared" si="266"/>
        <v/>
      </c>
      <c r="R293" s="99"/>
    </row>
    <row r="294" spans="1:18" s="114" customFormat="1" ht="16.2" thickBot="1" x14ac:dyDescent="0.35">
      <c r="A294" s="86" t="str">
        <f>IF(TRIM(H294)&lt;&gt;"",COUNTA(H$9:$H294)&amp;"","")</f>
        <v/>
      </c>
      <c r="B294" s="103"/>
      <c r="C294" s="103"/>
      <c r="D294" s="104"/>
      <c r="E294" s="105"/>
      <c r="F294" s="106"/>
      <c r="H294" s="107"/>
      <c r="I294" s="108" t="s">
        <v>12</v>
      </c>
      <c r="J294" s="109"/>
      <c r="K294" s="110">
        <f>SUM(L$172:L$293)</f>
        <v>127954.24135338346</v>
      </c>
      <c r="L294" s="190" t="s">
        <v>13</v>
      </c>
      <c r="M294" s="191"/>
      <c r="N294" s="111">
        <f>SUM(P$172:P$293)</f>
        <v>155752.86419172934</v>
      </c>
      <c r="O294" s="190" t="s">
        <v>42</v>
      </c>
      <c r="P294" s="191"/>
      <c r="Q294" s="112">
        <f>SUM(O$172:O$293)</f>
        <v>2076.704855889725</v>
      </c>
      <c r="R294" s="113">
        <f>SUM(Q$172:Q$293)</f>
        <v>283707.1055451128</v>
      </c>
    </row>
    <row r="295" spans="1:18" s="171" customFormat="1" ht="20.100000000000001" customHeight="1" x14ac:dyDescent="0.3">
      <c r="A295" s="167" t="str">
        <f>IF(TRIM(H295)&lt;&gt;"",COUNTA(H$9:$H295)&amp;"","")</f>
        <v/>
      </c>
      <c r="B295" s="168"/>
      <c r="C295" s="168"/>
      <c r="D295" s="169" t="s">
        <v>60</v>
      </c>
      <c r="E295" s="169" t="s">
        <v>123</v>
      </c>
      <c r="F295" s="170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72"/>
    </row>
    <row r="296" spans="1:18" ht="27.6" x14ac:dyDescent="0.3">
      <c r="A296" s="86" t="str">
        <f>IF(TRIM(H296)&lt;&gt;"",COUNTA(H$9:$H296)&amp;"","")</f>
        <v>181</v>
      </c>
      <c r="B296" s="87" t="s">
        <v>354</v>
      </c>
      <c r="C296" s="87"/>
      <c r="D296" s="87" t="s">
        <v>469</v>
      </c>
      <c r="E296" s="89" t="s">
        <v>468</v>
      </c>
      <c r="F296" s="90">
        <v>1</v>
      </c>
      <c r="H296" s="91" t="s">
        <v>218</v>
      </c>
      <c r="I296" s="92">
        <f>IF(F296=0,"",0)</f>
        <v>0</v>
      </c>
      <c r="J296" s="93">
        <f>IF(F296=0,"",F296+(F296*I296))</f>
        <v>1</v>
      </c>
      <c r="K296" s="94">
        <v>0</v>
      </c>
      <c r="L296" s="95">
        <f>IF(F296=0,"",K296*J296)</f>
        <v>0</v>
      </c>
      <c r="M296" s="96">
        <f>IF(F296=0,"",M$7)</f>
        <v>75</v>
      </c>
      <c r="N296" s="97">
        <v>1.25</v>
      </c>
      <c r="O296" s="97">
        <f>IF(F296=0,"",N296*J296)</f>
        <v>1.25</v>
      </c>
      <c r="P296" s="95">
        <f>IF(F296=0,"",O296*M296)</f>
        <v>93.75</v>
      </c>
      <c r="Q296" s="98">
        <f>IF(F296=0,"",L296+P296)</f>
        <v>93.75</v>
      </c>
      <c r="R296" s="99"/>
    </row>
    <row r="297" spans="1:18" s="116" customFormat="1" ht="19.2" customHeight="1" x14ac:dyDescent="0.3">
      <c r="A297" s="86" t="str">
        <f>IF(TRIM(H297)&lt;&gt;"",COUNTA(H$9:$H297)&amp;"","")</f>
        <v/>
      </c>
      <c r="B297" s="115"/>
      <c r="C297" s="115"/>
      <c r="D297" s="88" t="s">
        <v>125</v>
      </c>
      <c r="E297" s="164" t="s">
        <v>124</v>
      </c>
      <c r="F297" s="90"/>
      <c r="H297" s="91"/>
      <c r="I297" s="92" t="str">
        <f t="shared" ref="I297:I333" si="277">IF(F297=0,"",0)</f>
        <v/>
      </c>
      <c r="J297" s="93" t="str">
        <f t="shared" ref="J297:J333" si="278">IF(F297=0,"",F297+(F297*I297))</f>
        <v/>
      </c>
      <c r="K297" s="94" t="s">
        <v>549</v>
      </c>
      <c r="L297" s="95" t="str">
        <f t="shared" ref="L297:L333" si="279">IF(F297=0,"",K297*J297)</f>
        <v/>
      </c>
      <c r="M297" s="96" t="str">
        <f t="shared" ref="M297:M333" si="280">IF(F297=0,"",M$7)</f>
        <v/>
      </c>
      <c r="N297" s="97" t="s">
        <v>549</v>
      </c>
      <c r="O297" s="97" t="str">
        <f t="shared" ref="O297:O333" si="281">IF(F297=0,"",N297*J297)</f>
        <v/>
      </c>
      <c r="P297" s="95" t="str">
        <f t="shared" ref="P297:P333" si="282">IF(F297=0,"",O297*M297)</f>
        <v/>
      </c>
      <c r="Q297" s="98" t="str">
        <f t="shared" ref="Q297:Q333" si="283">IF(F297=0,"",L297+P297)</f>
        <v/>
      </c>
      <c r="R297" s="99"/>
    </row>
    <row r="298" spans="1:18" x14ac:dyDescent="0.3">
      <c r="A298" s="86" t="str">
        <f>IF(TRIM(H298)&lt;&gt;"",COUNTA(H$9:$H298)&amp;"","")</f>
        <v>182</v>
      </c>
      <c r="B298" s="87" t="s">
        <v>340</v>
      </c>
      <c r="C298" s="87"/>
      <c r="D298" s="87" t="s">
        <v>347</v>
      </c>
      <c r="E298" s="89" t="s">
        <v>348</v>
      </c>
      <c r="F298" s="90">
        <v>1</v>
      </c>
      <c r="H298" s="91" t="s">
        <v>239</v>
      </c>
      <c r="I298" s="92">
        <f t="shared" si="277"/>
        <v>0</v>
      </c>
      <c r="J298" s="93">
        <f t="shared" si="278"/>
        <v>1</v>
      </c>
      <c r="K298" s="94">
        <v>340</v>
      </c>
      <c r="L298" s="95">
        <f t="shared" si="279"/>
        <v>340</v>
      </c>
      <c r="M298" s="96">
        <f t="shared" si="280"/>
        <v>75</v>
      </c>
      <c r="N298" s="97">
        <v>2.125</v>
      </c>
      <c r="O298" s="97">
        <f t="shared" si="281"/>
        <v>2.125</v>
      </c>
      <c r="P298" s="95">
        <f t="shared" si="282"/>
        <v>159.375</v>
      </c>
      <c r="Q298" s="98">
        <f t="shared" si="283"/>
        <v>499.375</v>
      </c>
      <c r="R298" s="99"/>
    </row>
    <row r="299" spans="1:18" x14ac:dyDescent="0.3">
      <c r="A299" s="86" t="str">
        <f>IF(TRIM(H299)&lt;&gt;"",COUNTA(H$9:$H299)&amp;"","")</f>
        <v>183</v>
      </c>
      <c r="B299" s="87" t="s">
        <v>340</v>
      </c>
      <c r="C299" s="87"/>
      <c r="D299" s="87" t="s">
        <v>349</v>
      </c>
      <c r="E299" s="89" t="s">
        <v>350</v>
      </c>
      <c r="F299" s="90">
        <v>1</v>
      </c>
      <c r="H299" s="91" t="s">
        <v>239</v>
      </c>
      <c r="I299" s="92">
        <f t="shared" si="277"/>
        <v>0</v>
      </c>
      <c r="J299" s="93">
        <f t="shared" si="278"/>
        <v>1</v>
      </c>
      <c r="K299" s="94">
        <v>340</v>
      </c>
      <c r="L299" s="95">
        <f t="shared" si="279"/>
        <v>340</v>
      </c>
      <c r="M299" s="96">
        <f t="shared" si="280"/>
        <v>75</v>
      </c>
      <c r="N299" s="97">
        <v>2.125</v>
      </c>
      <c r="O299" s="97">
        <f t="shared" si="281"/>
        <v>2.125</v>
      </c>
      <c r="P299" s="95">
        <f t="shared" si="282"/>
        <v>159.375</v>
      </c>
      <c r="Q299" s="98">
        <f t="shared" si="283"/>
        <v>499.375</v>
      </c>
      <c r="R299" s="99"/>
    </row>
    <row r="300" spans="1:18" s="116" customFormat="1" ht="19.2" customHeight="1" x14ac:dyDescent="0.3">
      <c r="A300" s="86" t="str">
        <f>IF(TRIM(H300)&lt;&gt;"",COUNTA(H$9:$H300)&amp;"","")</f>
        <v/>
      </c>
      <c r="B300" s="115"/>
      <c r="C300" s="115"/>
      <c r="D300" s="88" t="s">
        <v>127</v>
      </c>
      <c r="E300" s="164" t="s">
        <v>126</v>
      </c>
      <c r="F300" s="90"/>
      <c r="H300" s="91"/>
      <c r="I300" s="92" t="str">
        <f t="shared" si="277"/>
        <v/>
      </c>
      <c r="J300" s="93" t="str">
        <f t="shared" si="278"/>
        <v/>
      </c>
      <c r="K300" s="94" t="s">
        <v>549</v>
      </c>
      <c r="L300" s="95" t="str">
        <f t="shared" si="279"/>
        <v/>
      </c>
      <c r="M300" s="96" t="str">
        <f t="shared" si="280"/>
        <v/>
      </c>
      <c r="N300" s="97" t="s">
        <v>549</v>
      </c>
      <c r="O300" s="97" t="str">
        <f t="shared" si="281"/>
        <v/>
      </c>
      <c r="P300" s="95" t="str">
        <f t="shared" si="282"/>
        <v/>
      </c>
      <c r="Q300" s="98" t="str">
        <f t="shared" si="283"/>
        <v/>
      </c>
      <c r="R300" s="99"/>
    </row>
    <row r="301" spans="1:18" x14ac:dyDescent="0.3">
      <c r="A301" s="86" t="str">
        <f>IF(TRIM(H301)&lt;&gt;"",COUNTA(H$9:$H301)&amp;"","")</f>
        <v>184</v>
      </c>
      <c r="B301" s="262" t="s">
        <v>445</v>
      </c>
      <c r="C301" s="262"/>
      <c r="D301" s="259"/>
      <c r="E301" s="100" t="s">
        <v>446</v>
      </c>
      <c r="F301" s="90">
        <v>4</v>
      </c>
      <c r="H301" s="91" t="s">
        <v>239</v>
      </c>
      <c r="I301" s="92">
        <f t="shared" si="277"/>
        <v>0</v>
      </c>
      <c r="J301" s="93">
        <f t="shared" si="278"/>
        <v>4</v>
      </c>
      <c r="K301" s="94">
        <v>0</v>
      </c>
      <c r="L301" s="95">
        <f t="shared" si="279"/>
        <v>0</v>
      </c>
      <c r="M301" s="96">
        <f t="shared" si="280"/>
        <v>75</v>
      </c>
      <c r="N301" s="97">
        <v>0.375</v>
      </c>
      <c r="O301" s="97">
        <f t="shared" si="281"/>
        <v>1.5</v>
      </c>
      <c r="P301" s="95">
        <f t="shared" si="282"/>
        <v>112.5</v>
      </c>
      <c r="Q301" s="98">
        <f t="shared" si="283"/>
        <v>112.5</v>
      </c>
      <c r="R301" s="99"/>
    </row>
    <row r="302" spans="1:18" x14ac:dyDescent="0.3">
      <c r="A302" s="86" t="str">
        <f>IF(TRIM(H302)&lt;&gt;"",COUNTA(H$9:$H302)&amp;"","")</f>
        <v>185</v>
      </c>
      <c r="B302" s="263"/>
      <c r="C302" s="263"/>
      <c r="D302" s="263"/>
      <c r="E302" s="100" t="s">
        <v>447</v>
      </c>
      <c r="F302" s="90">
        <v>3</v>
      </c>
      <c r="H302" s="91" t="s">
        <v>239</v>
      </c>
      <c r="I302" s="92">
        <f t="shared" si="277"/>
        <v>0</v>
      </c>
      <c r="J302" s="93">
        <f t="shared" si="278"/>
        <v>3</v>
      </c>
      <c r="K302" s="94">
        <v>0</v>
      </c>
      <c r="L302" s="95">
        <f t="shared" si="279"/>
        <v>0</v>
      </c>
      <c r="M302" s="96">
        <f t="shared" si="280"/>
        <v>75</v>
      </c>
      <c r="N302" s="97">
        <v>0.42499999999999999</v>
      </c>
      <c r="O302" s="97">
        <f t="shared" si="281"/>
        <v>1.2749999999999999</v>
      </c>
      <c r="P302" s="95">
        <f t="shared" si="282"/>
        <v>95.625</v>
      </c>
      <c r="Q302" s="98">
        <f t="shared" si="283"/>
        <v>95.625</v>
      </c>
      <c r="R302" s="99"/>
    </row>
    <row r="303" spans="1:18" ht="27.6" x14ac:dyDescent="0.3">
      <c r="A303" s="86" t="str">
        <f>IF(TRIM(H303)&lt;&gt;"",COUNTA(H$9:$H303)&amp;"","")</f>
        <v>186</v>
      </c>
      <c r="B303" s="263"/>
      <c r="C303" s="263"/>
      <c r="D303" s="263"/>
      <c r="E303" s="100" t="s">
        <v>457</v>
      </c>
      <c r="F303" s="90">
        <v>2</v>
      </c>
      <c r="H303" s="91" t="s">
        <v>239</v>
      </c>
      <c r="I303" s="92">
        <f t="shared" ref="I303" si="284">IF(F303=0,"",0)</f>
        <v>0</v>
      </c>
      <c r="J303" s="93">
        <f t="shared" ref="J303" si="285">IF(F303=0,"",F303+(F303*I303))</f>
        <v>2</v>
      </c>
      <c r="K303" s="94">
        <v>0</v>
      </c>
      <c r="L303" s="95">
        <f t="shared" ref="L303" si="286">IF(F303=0,"",K303*J303)</f>
        <v>0</v>
      </c>
      <c r="M303" s="96">
        <f t="shared" ref="M303" si="287">IF(F303=0,"",M$7)</f>
        <v>75</v>
      </c>
      <c r="N303" s="97">
        <v>0.8125</v>
      </c>
      <c r="O303" s="97">
        <f t="shared" ref="O303" si="288">IF(F303=0,"",N303*J303)</f>
        <v>1.625</v>
      </c>
      <c r="P303" s="95">
        <f t="shared" ref="P303" si="289">IF(F303=0,"",O303*M303)</f>
        <v>121.875</v>
      </c>
      <c r="Q303" s="98">
        <f t="shared" ref="Q303" si="290">IF(F303=0,"",L303+P303)</f>
        <v>121.875</v>
      </c>
      <c r="R303" s="99"/>
    </row>
    <row r="304" spans="1:18" ht="27.6" x14ac:dyDescent="0.3">
      <c r="A304" s="86" t="str">
        <f>IF(TRIM(H304)&lt;&gt;"",COUNTA(H$9:$H304)&amp;"","")</f>
        <v>187</v>
      </c>
      <c r="B304" s="263"/>
      <c r="C304" s="263"/>
      <c r="D304" s="263"/>
      <c r="E304" s="100" t="s">
        <v>448</v>
      </c>
      <c r="F304" s="90">
        <v>1</v>
      </c>
      <c r="H304" s="91" t="s">
        <v>239</v>
      </c>
      <c r="I304" s="92">
        <f t="shared" si="277"/>
        <v>0</v>
      </c>
      <c r="J304" s="93">
        <f t="shared" si="278"/>
        <v>1</v>
      </c>
      <c r="K304" s="94">
        <v>0</v>
      </c>
      <c r="L304" s="95">
        <f t="shared" si="279"/>
        <v>0</v>
      </c>
      <c r="M304" s="96">
        <f t="shared" si="280"/>
        <v>75</v>
      </c>
      <c r="N304" s="97">
        <v>0.875</v>
      </c>
      <c r="O304" s="97">
        <f t="shared" si="281"/>
        <v>0.875</v>
      </c>
      <c r="P304" s="95">
        <f t="shared" si="282"/>
        <v>65.625</v>
      </c>
      <c r="Q304" s="98">
        <f t="shared" si="283"/>
        <v>65.625</v>
      </c>
      <c r="R304" s="99"/>
    </row>
    <row r="305" spans="1:18" ht="27.6" x14ac:dyDescent="0.3">
      <c r="A305" s="86" t="str">
        <f>IF(TRIM(H305)&lt;&gt;"",COUNTA(H$9:$H305)&amp;"","")</f>
        <v>188</v>
      </c>
      <c r="B305" s="263"/>
      <c r="C305" s="263"/>
      <c r="D305" s="263"/>
      <c r="E305" s="100" t="s">
        <v>449</v>
      </c>
      <c r="F305" s="90">
        <v>1</v>
      </c>
      <c r="H305" s="91" t="s">
        <v>239</v>
      </c>
      <c r="I305" s="92">
        <f t="shared" si="277"/>
        <v>0</v>
      </c>
      <c r="J305" s="93">
        <f t="shared" si="278"/>
        <v>1</v>
      </c>
      <c r="K305" s="94">
        <v>0</v>
      </c>
      <c r="L305" s="95">
        <f t="shared" si="279"/>
        <v>0</v>
      </c>
      <c r="M305" s="96">
        <f t="shared" si="280"/>
        <v>75</v>
      </c>
      <c r="N305" s="97">
        <v>7.35546875</v>
      </c>
      <c r="O305" s="97">
        <f t="shared" si="281"/>
        <v>7.35546875</v>
      </c>
      <c r="P305" s="95">
        <f t="shared" si="282"/>
        <v>551.66015625</v>
      </c>
      <c r="Q305" s="98">
        <f t="shared" si="283"/>
        <v>551.66015625</v>
      </c>
      <c r="R305" s="99"/>
    </row>
    <row r="306" spans="1:18" ht="27.6" x14ac:dyDescent="0.3">
      <c r="A306" s="86" t="str">
        <f>IF(TRIM(H306)&lt;&gt;"",COUNTA(H$9:$H306)&amp;"","")</f>
        <v>189</v>
      </c>
      <c r="B306" s="263"/>
      <c r="C306" s="263"/>
      <c r="D306" s="263"/>
      <c r="E306" s="100" t="s">
        <v>450</v>
      </c>
      <c r="F306" s="90">
        <v>4</v>
      </c>
      <c r="H306" s="91" t="s">
        <v>239</v>
      </c>
      <c r="I306" s="92">
        <f t="shared" si="277"/>
        <v>0</v>
      </c>
      <c r="J306" s="93">
        <f t="shared" si="278"/>
        <v>4</v>
      </c>
      <c r="K306" s="94">
        <v>0</v>
      </c>
      <c r="L306" s="95">
        <f t="shared" si="279"/>
        <v>0</v>
      </c>
      <c r="M306" s="96">
        <f t="shared" si="280"/>
        <v>75</v>
      </c>
      <c r="N306" s="97">
        <v>2.5</v>
      </c>
      <c r="O306" s="97">
        <f t="shared" si="281"/>
        <v>10</v>
      </c>
      <c r="P306" s="95">
        <f t="shared" si="282"/>
        <v>750</v>
      </c>
      <c r="Q306" s="98">
        <f t="shared" si="283"/>
        <v>750</v>
      </c>
      <c r="R306" s="99"/>
    </row>
    <row r="307" spans="1:18" ht="27.6" x14ac:dyDescent="0.3">
      <c r="A307" s="86" t="str">
        <f>IF(TRIM(H307)&lt;&gt;"",COUNTA(H$9:$H307)&amp;"","")</f>
        <v>190</v>
      </c>
      <c r="B307" s="263"/>
      <c r="C307" s="263"/>
      <c r="D307" s="263"/>
      <c r="E307" s="100" t="s">
        <v>451</v>
      </c>
      <c r="F307" s="90">
        <v>6</v>
      </c>
      <c r="H307" s="91" t="s">
        <v>239</v>
      </c>
      <c r="I307" s="92">
        <f t="shared" si="277"/>
        <v>0</v>
      </c>
      <c r="J307" s="93">
        <f t="shared" si="278"/>
        <v>6</v>
      </c>
      <c r="K307" s="94">
        <v>0</v>
      </c>
      <c r="L307" s="95">
        <f t="shared" si="279"/>
        <v>0</v>
      </c>
      <c r="M307" s="96">
        <f t="shared" si="280"/>
        <v>75</v>
      </c>
      <c r="N307" s="97">
        <v>0.75</v>
      </c>
      <c r="O307" s="97">
        <f t="shared" si="281"/>
        <v>4.5</v>
      </c>
      <c r="P307" s="95">
        <f t="shared" si="282"/>
        <v>337.5</v>
      </c>
      <c r="Q307" s="98">
        <f t="shared" si="283"/>
        <v>337.5</v>
      </c>
      <c r="R307" s="99"/>
    </row>
    <row r="308" spans="1:18" ht="27.6" x14ac:dyDescent="0.3">
      <c r="A308" s="86" t="str">
        <f>IF(TRIM(H308)&lt;&gt;"",COUNTA(H$9:$H308)&amp;"","")</f>
        <v>191</v>
      </c>
      <c r="B308" s="263"/>
      <c r="C308" s="263"/>
      <c r="D308" s="263"/>
      <c r="E308" s="100" t="s">
        <v>452</v>
      </c>
      <c r="F308" s="90">
        <v>1</v>
      </c>
      <c r="H308" s="91" t="s">
        <v>239</v>
      </c>
      <c r="I308" s="92">
        <f t="shared" si="277"/>
        <v>0</v>
      </c>
      <c r="J308" s="93">
        <f t="shared" si="278"/>
        <v>1</v>
      </c>
      <c r="K308" s="94">
        <v>0</v>
      </c>
      <c r="L308" s="95">
        <f t="shared" si="279"/>
        <v>0</v>
      </c>
      <c r="M308" s="96">
        <f t="shared" si="280"/>
        <v>75</v>
      </c>
      <c r="N308" s="97">
        <v>1</v>
      </c>
      <c r="O308" s="97">
        <f t="shared" si="281"/>
        <v>1</v>
      </c>
      <c r="P308" s="95">
        <f t="shared" si="282"/>
        <v>75</v>
      </c>
      <c r="Q308" s="98">
        <f t="shared" si="283"/>
        <v>75</v>
      </c>
      <c r="R308" s="99"/>
    </row>
    <row r="309" spans="1:18" ht="27.6" x14ac:dyDescent="0.3">
      <c r="A309" s="86" t="str">
        <f>IF(TRIM(H309)&lt;&gt;"",COUNTA(H$9:$H309)&amp;"","")</f>
        <v>192</v>
      </c>
      <c r="B309" s="263"/>
      <c r="C309" s="263"/>
      <c r="D309" s="263"/>
      <c r="E309" s="100" t="s">
        <v>453</v>
      </c>
      <c r="F309" s="90">
        <v>1</v>
      </c>
      <c r="H309" s="91" t="s">
        <v>239</v>
      </c>
      <c r="I309" s="92">
        <f t="shared" si="277"/>
        <v>0</v>
      </c>
      <c r="J309" s="93">
        <f t="shared" si="278"/>
        <v>1</v>
      </c>
      <c r="K309" s="94">
        <v>0</v>
      </c>
      <c r="L309" s="95">
        <f t="shared" si="279"/>
        <v>0</v>
      </c>
      <c r="M309" s="96">
        <f t="shared" si="280"/>
        <v>75</v>
      </c>
      <c r="N309" s="97">
        <v>1.0833333333333335</v>
      </c>
      <c r="O309" s="97">
        <f t="shared" si="281"/>
        <v>1.0833333333333335</v>
      </c>
      <c r="P309" s="95">
        <f t="shared" si="282"/>
        <v>81.250000000000014</v>
      </c>
      <c r="Q309" s="98">
        <f t="shared" si="283"/>
        <v>81.250000000000014</v>
      </c>
      <c r="R309" s="99"/>
    </row>
    <row r="310" spans="1:18" ht="27.6" x14ac:dyDescent="0.3">
      <c r="A310" s="86" t="str">
        <f>IF(TRIM(H310)&lt;&gt;"",COUNTA(H$9:$H310)&amp;"","")</f>
        <v>193</v>
      </c>
      <c r="B310" s="263"/>
      <c r="C310" s="263"/>
      <c r="D310" s="263"/>
      <c r="E310" s="100" t="s">
        <v>454</v>
      </c>
      <c r="F310" s="90">
        <v>3</v>
      </c>
      <c r="H310" s="91" t="s">
        <v>239</v>
      </c>
      <c r="I310" s="92">
        <f t="shared" si="277"/>
        <v>0</v>
      </c>
      <c r="J310" s="93">
        <f t="shared" si="278"/>
        <v>3</v>
      </c>
      <c r="K310" s="94">
        <v>0</v>
      </c>
      <c r="L310" s="95">
        <f t="shared" si="279"/>
        <v>0</v>
      </c>
      <c r="M310" s="96">
        <f t="shared" si="280"/>
        <v>75</v>
      </c>
      <c r="N310" s="97">
        <v>1.125</v>
      </c>
      <c r="O310" s="97">
        <f t="shared" si="281"/>
        <v>3.375</v>
      </c>
      <c r="P310" s="95">
        <f t="shared" si="282"/>
        <v>253.125</v>
      </c>
      <c r="Q310" s="98">
        <f t="shared" si="283"/>
        <v>253.125</v>
      </c>
      <c r="R310" s="99"/>
    </row>
    <row r="311" spans="1:18" ht="27.6" x14ac:dyDescent="0.3">
      <c r="A311" s="86" t="str">
        <f>IF(TRIM(H311)&lt;&gt;"",COUNTA(H$9:$H311)&amp;"","")</f>
        <v>194</v>
      </c>
      <c r="B311" s="263"/>
      <c r="C311" s="263"/>
      <c r="D311" s="263"/>
      <c r="E311" s="100" t="s">
        <v>455</v>
      </c>
      <c r="F311" s="90">
        <v>3</v>
      </c>
      <c r="H311" s="91" t="s">
        <v>239</v>
      </c>
      <c r="I311" s="92">
        <f t="shared" ref="I311:I312" si="291">IF(F311=0,"",0)</f>
        <v>0</v>
      </c>
      <c r="J311" s="93">
        <f t="shared" ref="J311:J312" si="292">IF(F311=0,"",F311+(F311*I311))</f>
        <v>3</v>
      </c>
      <c r="K311" s="94">
        <v>0</v>
      </c>
      <c r="L311" s="95">
        <f t="shared" ref="L311:L312" si="293">IF(F311=0,"",K311*J311)</f>
        <v>0</v>
      </c>
      <c r="M311" s="96">
        <f t="shared" ref="M311:M312" si="294">IF(F311=0,"",M$7)</f>
        <v>75</v>
      </c>
      <c r="N311" s="97">
        <v>0.5625</v>
      </c>
      <c r="O311" s="97">
        <f t="shared" ref="O311:O312" si="295">IF(F311=0,"",N311*J311)</f>
        <v>1.6875</v>
      </c>
      <c r="P311" s="95">
        <f t="shared" ref="P311:P312" si="296">IF(F311=0,"",O311*M311)</f>
        <v>126.5625</v>
      </c>
      <c r="Q311" s="98">
        <f t="shared" ref="Q311:Q312" si="297">IF(F311=0,"",L311+P311)</f>
        <v>126.5625</v>
      </c>
      <c r="R311" s="99"/>
    </row>
    <row r="312" spans="1:18" ht="27.6" x14ac:dyDescent="0.3">
      <c r="A312" s="86" t="str">
        <f>IF(TRIM(H312)&lt;&gt;"",COUNTA(H$9:$H312)&amp;"","")</f>
        <v>195</v>
      </c>
      <c r="B312" s="264"/>
      <c r="C312" s="264"/>
      <c r="D312" s="264"/>
      <c r="E312" s="100" t="s">
        <v>456</v>
      </c>
      <c r="F312" s="90">
        <v>3</v>
      </c>
      <c r="H312" s="91" t="s">
        <v>239</v>
      </c>
      <c r="I312" s="92">
        <f t="shared" si="291"/>
        <v>0</v>
      </c>
      <c r="J312" s="93">
        <f t="shared" si="292"/>
        <v>3</v>
      </c>
      <c r="K312" s="94">
        <v>0</v>
      </c>
      <c r="L312" s="95">
        <f t="shared" si="293"/>
        <v>0</v>
      </c>
      <c r="M312" s="96">
        <f t="shared" si="294"/>
        <v>75</v>
      </c>
      <c r="N312" s="97">
        <v>0.84375</v>
      </c>
      <c r="O312" s="97">
        <f t="shared" si="295"/>
        <v>2.53125</v>
      </c>
      <c r="P312" s="95">
        <f t="shared" si="296"/>
        <v>189.84375</v>
      </c>
      <c r="Q312" s="98">
        <f t="shared" si="297"/>
        <v>189.84375</v>
      </c>
      <c r="R312" s="99"/>
    </row>
    <row r="313" spans="1:18" s="116" customFormat="1" ht="19.2" customHeight="1" x14ac:dyDescent="0.3">
      <c r="A313" s="86" t="str">
        <f>IF(TRIM(H313)&lt;&gt;"",COUNTA(H$9:$H313)&amp;"","")</f>
        <v/>
      </c>
      <c r="B313" s="115"/>
      <c r="C313" s="115"/>
      <c r="D313" s="88" t="s">
        <v>129</v>
      </c>
      <c r="E313" s="164" t="s">
        <v>128</v>
      </c>
      <c r="F313" s="90"/>
      <c r="H313" s="91"/>
      <c r="I313" s="92" t="str">
        <f t="shared" si="277"/>
        <v/>
      </c>
      <c r="J313" s="93" t="str">
        <f t="shared" si="278"/>
        <v/>
      </c>
      <c r="K313" s="94" t="s">
        <v>549</v>
      </c>
      <c r="L313" s="95" t="str">
        <f t="shared" si="279"/>
        <v/>
      </c>
      <c r="M313" s="96" t="str">
        <f t="shared" si="280"/>
        <v/>
      </c>
      <c r="N313" s="97" t="s">
        <v>549</v>
      </c>
      <c r="O313" s="97" t="str">
        <f t="shared" si="281"/>
        <v/>
      </c>
      <c r="P313" s="95" t="str">
        <f t="shared" si="282"/>
        <v/>
      </c>
      <c r="Q313" s="98" t="str">
        <f t="shared" si="283"/>
        <v/>
      </c>
      <c r="R313" s="99"/>
    </row>
    <row r="314" spans="1:18" ht="27.6" x14ac:dyDescent="0.3">
      <c r="A314" s="86" t="str">
        <f>IF(TRIM(H314)&lt;&gt;"",COUNTA(H$9:$H314)&amp;"","")</f>
        <v>196</v>
      </c>
      <c r="B314" s="87" t="s">
        <v>340</v>
      </c>
      <c r="C314" s="87"/>
      <c r="D314" s="87" t="s">
        <v>248</v>
      </c>
      <c r="E314" s="100" t="s">
        <v>341</v>
      </c>
      <c r="F314" s="90">
        <v>12</v>
      </c>
      <c r="H314" s="91" t="s">
        <v>239</v>
      </c>
      <c r="I314" s="92">
        <f t="shared" ref="I314:I317" si="298">IF(F314=0,"",0)</f>
        <v>0</v>
      </c>
      <c r="J314" s="93">
        <f t="shared" ref="J314:J317" si="299">IF(F314=0,"",F314+(F314*I314))</f>
        <v>12</v>
      </c>
      <c r="K314" s="94">
        <v>0</v>
      </c>
      <c r="L314" s="95">
        <f t="shared" ref="L314:L317" si="300">IF(F314=0,"",K314*J314)</f>
        <v>0</v>
      </c>
      <c r="M314" s="96">
        <f t="shared" ref="M314:M317" si="301">IF(F314=0,"",M$7)</f>
        <v>75</v>
      </c>
      <c r="N314" s="97">
        <v>1.71875</v>
      </c>
      <c r="O314" s="97">
        <f t="shared" ref="O314:O317" si="302">IF(F314=0,"",N314*J314)</f>
        <v>20.625</v>
      </c>
      <c r="P314" s="95">
        <f t="shared" ref="P314:P317" si="303">IF(F314=0,"",O314*M314)</f>
        <v>1546.875</v>
      </c>
      <c r="Q314" s="98">
        <f t="shared" ref="Q314:Q317" si="304">IF(F314=0,"",L314+P314)</f>
        <v>1546.875</v>
      </c>
      <c r="R314" s="99"/>
    </row>
    <row r="315" spans="1:18" ht="27.6" x14ac:dyDescent="0.3">
      <c r="A315" s="86" t="str">
        <f>IF(TRIM(H315)&lt;&gt;"",COUNTA(H$9:$H315)&amp;"","")</f>
        <v>197</v>
      </c>
      <c r="B315" s="87" t="s">
        <v>340</v>
      </c>
      <c r="C315" s="87"/>
      <c r="D315" s="87" t="s">
        <v>248</v>
      </c>
      <c r="E315" s="100" t="s">
        <v>351</v>
      </c>
      <c r="F315" s="90">
        <v>2</v>
      </c>
      <c r="H315" s="91" t="s">
        <v>239</v>
      </c>
      <c r="I315" s="92">
        <f t="shared" si="298"/>
        <v>0</v>
      </c>
      <c r="J315" s="93">
        <f t="shared" si="299"/>
        <v>2</v>
      </c>
      <c r="K315" s="94">
        <v>0</v>
      </c>
      <c r="L315" s="95">
        <f t="shared" si="300"/>
        <v>0</v>
      </c>
      <c r="M315" s="96">
        <f t="shared" si="301"/>
        <v>75</v>
      </c>
      <c r="N315" s="97">
        <v>2.03125</v>
      </c>
      <c r="O315" s="97">
        <f t="shared" si="302"/>
        <v>4.0625</v>
      </c>
      <c r="P315" s="95">
        <f t="shared" si="303"/>
        <v>304.6875</v>
      </c>
      <c r="Q315" s="98">
        <f t="shared" si="304"/>
        <v>304.6875</v>
      </c>
      <c r="R315" s="99"/>
    </row>
    <row r="316" spans="1:18" ht="27.6" x14ac:dyDescent="0.3">
      <c r="A316" s="86" t="str">
        <f>IF(TRIM(H316)&lt;&gt;"",COUNTA(H$9:$H316)&amp;"","")</f>
        <v>198</v>
      </c>
      <c r="B316" s="87" t="s">
        <v>354</v>
      </c>
      <c r="C316" s="87" t="s">
        <v>374</v>
      </c>
      <c r="D316" s="87" t="s">
        <v>236</v>
      </c>
      <c r="E316" s="100" t="s">
        <v>407</v>
      </c>
      <c r="F316" s="90">
        <v>9</v>
      </c>
      <c r="H316" s="91" t="s">
        <v>239</v>
      </c>
      <c r="I316" s="92">
        <f>IF(F316=0,"",0)</f>
        <v>0</v>
      </c>
      <c r="J316" s="93">
        <f>IF(F316=0,"",F316+(F316*I316))</f>
        <v>9</v>
      </c>
      <c r="K316" s="94">
        <v>0</v>
      </c>
      <c r="L316" s="95">
        <f>IF(F316=0,"",K316*J316)</f>
        <v>0</v>
      </c>
      <c r="M316" s="96">
        <f>IF(F316=0,"",M$7)</f>
        <v>75</v>
      </c>
      <c r="N316" s="97">
        <v>0.75</v>
      </c>
      <c r="O316" s="97">
        <f>IF(F316=0,"",N316*J316)</f>
        <v>6.75</v>
      </c>
      <c r="P316" s="95">
        <f>IF(F316=0,"",O316*M316)</f>
        <v>506.25</v>
      </c>
      <c r="Q316" s="98">
        <f>IF(F316=0,"",L316+P316)</f>
        <v>506.25</v>
      </c>
      <c r="R316" s="99"/>
    </row>
    <row r="317" spans="1:18" ht="41.4" x14ac:dyDescent="0.3">
      <c r="A317" s="86" t="str">
        <f>IF(TRIM(H317)&lt;&gt;"",COUNTA(H$9:$H317)&amp;"","")</f>
        <v>199</v>
      </c>
      <c r="B317" s="87" t="s">
        <v>340</v>
      </c>
      <c r="C317" s="87"/>
      <c r="D317" s="87" t="s">
        <v>246</v>
      </c>
      <c r="E317" s="100" t="s">
        <v>352</v>
      </c>
      <c r="F317" s="90">
        <v>18</v>
      </c>
      <c r="H317" s="91" t="s">
        <v>239</v>
      </c>
      <c r="I317" s="92">
        <f t="shared" si="298"/>
        <v>0</v>
      </c>
      <c r="J317" s="93">
        <f t="shared" si="299"/>
        <v>18</v>
      </c>
      <c r="K317" s="94">
        <v>21.25</v>
      </c>
      <c r="L317" s="95">
        <f t="shared" si="300"/>
        <v>382.5</v>
      </c>
      <c r="M317" s="96">
        <f t="shared" si="301"/>
        <v>75</v>
      </c>
      <c r="N317" s="97">
        <v>9.375E-2</v>
      </c>
      <c r="O317" s="97">
        <f t="shared" si="302"/>
        <v>1.6875</v>
      </c>
      <c r="P317" s="95">
        <f t="shared" si="303"/>
        <v>126.5625</v>
      </c>
      <c r="Q317" s="98">
        <f t="shared" si="304"/>
        <v>509.0625</v>
      </c>
      <c r="R317" s="99"/>
    </row>
    <row r="318" spans="1:18" x14ac:dyDescent="0.3">
      <c r="A318" s="86" t="str">
        <f>IF(TRIM(H318)&lt;&gt;"",COUNTA(H$9:$H318)&amp;"","")</f>
        <v>200</v>
      </c>
      <c r="B318" s="241" t="s">
        <v>359</v>
      </c>
      <c r="C318" s="262" t="s">
        <v>370</v>
      </c>
      <c r="D318" s="259"/>
      <c r="E318" s="100" t="s">
        <v>358</v>
      </c>
      <c r="F318" s="90">
        <v>4</v>
      </c>
      <c r="H318" s="91" t="s">
        <v>239</v>
      </c>
      <c r="I318" s="92">
        <f t="shared" si="277"/>
        <v>0</v>
      </c>
      <c r="J318" s="93">
        <f t="shared" si="278"/>
        <v>4</v>
      </c>
      <c r="K318" s="94">
        <v>191.25</v>
      </c>
      <c r="L318" s="95">
        <f t="shared" si="279"/>
        <v>765</v>
      </c>
      <c r="M318" s="96">
        <f t="shared" si="280"/>
        <v>75</v>
      </c>
      <c r="N318" s="97">
        <v>0.84375</v>
      </c>
      <c r="O318" s="97">
        <f t="shared" si="281"/>
        <v>3.375</v>
      </c>
      <c r="P318" s="95">
        <f t="shared" si="282"/>
        <v>253.125</v>
      </c>
      <c r="Q318" s="98">
        <f t="shared" si="283"/>
        <v>1018.125</v>
      </c>
      <c r="R318" s="99"/>
    </row>
    <row r="319" spans="1:18" x14ac:dyDescent="0.3">
      <c r="A319" s="86" t="str">
        <f>IF(TRIM(H319)&lt;&gt;"",COUNTA(H$9:$H319)&amp;"","")</f>
        <v>201</v>
      </c>
      <c r="B319" s="242"/>
      <c r="C319" s="263"/>
      <c r="D319" s="260"/>
      <c r="E319" s="100" t="s">
        <v>360</v>
      </c>
      <c r="F319" s="90">
        <v>4</v>
      </c>
      <c r="H319" s="91" t="s">
        <v>239</v>
      </c>
      <c r="I319" s="92">
        <f t="shared" si="277"/>
        <v>0</v>
      </c>
      <c r="J319" s="93">
        <f t="shared" si="278"/>
        <v>4</v>
      </c>
      <c r="K319" s="94">
        <v>119</v>
      </c>
      <c r="L319" s="95">
        <f t="shared" si="279"/>
        <v>476</v>
      </c>
      <c r="M319" s="96">
        <f t="shared" si="280"/>
        <v>75</v>
      </c>
      <c r="N319" s="97">
        <v>0.52500000000000002</v>
      </c>
      <c r="O319" s="97">
        <f t="shared" si="281"/>
        <v>2.1</v>
      </c>
      <c r="P319" s="95">
        <f t="shared" si="282"/>
        <v>157.5</v>
      </c>
      <c r="Q319" s="98">
        <f t="shared" si="283"/>
        <v>633.5</v>
      </c>
      <c r="R319" s="99"/>
    </row>
    <row r="320" spans="1:18" x14ac:dyDescent="0.3">
      <c r="A320" s="86" t="str">
        <f>IF(TRIM(H320)&lt;&gt;"",COUNTA(H$9:$H320)&amp;"","")</f>
        <v>202</v>
      </c>
      <c r="B320" s="242"/>
      <c r="C320" s="263"/>
      <c r="D320" s="260"/>
      <c r="E320" s="100" t="s">
        <v>361</v>
      </c>
      <c r="F320" s="90">
        <v>4</v>
      </c>
      <c r="H320" s="91" t="s">
        <v>239</v>
      </c>
      <c r="I320" s="92">
        <f t="shared" si="277"/>
        <v>0</v>
      </c>
      <c r="J320" s="93">
        <f t="shared" si="278"/>
        <v>4</v>
      </c>
      <c r="K320" s="94">
        <v>255</v>
      </c>
      <c r="L320" s="95">
        <f t="shared" si="279"/>
        <v>1020</v>
      </c>
      <c r="M320" s="96">
        <f t="shared" si="280"/>
        <v>75</v>
      </c>
      <c r="N320" s="97">
        <v>1.125</v>
      </c>
      <c r="O320" s="97">
        <f t="shared" si="281"/>
        <v>4.5</v>
      </c>
      <c r="P320" s="95">
        <f t="shared" si="282"/>
        <v>337.5</v>
      </c>
      <c r="Q320" s="98">
        <f t="shared" si="283"/>
        <v>1357.5</v>
      </c>
      <c r="R320" s="99"/>
    </row>
    <row r="321" spans="1:18" x14ac:dyDescent="0.3">
      <c r="A321" s="86" t="str">
        <f>IF(TRIM(H321)&lt;&gt;"",COUNTA(H$9:$H321)&amp;"","")</f>
        <v>203</v>
      </c>
      <c r="B321" s="242"/>
      <c r="C321" s="263"/>
      <c r="D321" s="260"/>
      <c r="E321" s="100" t="s">
        <v>362</v>
      </c>
      <c r="F321" s="90">
        <v>4</v>
      </c>
      <c r="H321" s="91" t="s">
        <v>239</v>
      </c>
      <c r="I321" s="92">
        <f t="shared" ref="I321:I323" si="305">IF(F321=0,"",0)</f>
        <v>0</v>
      </c>
      <c r="J321" s="93">
        <f t="shared" ref="J321:J323" si="306">IF(F321=0,"",F321+(F321*I321))</f>
        <v>4</v>
      </c>
      <c r="K321" s="94">
        <v>119</v>
      </c>
      <c r="L321" s="95">
        <f t="shared" ref="L321:L323" si="307">IF(F321=0,"",K321*J321)</f>
        <v>476</v>
      </c>
      <c r="M321" s="96">
        <f t="shared" ref="M321:M323" si="308">IF(F321=0,"",M$7)</f>
        <v>75</v>
      </c>
      <c r="N321" s="97">
        <v>0.52500000000000002</v>
      </c>
      <c r="O321" s="97">
        <f t="shared" ref="O321:O323" si="309">IF(F321=0,"",N321*J321)</f>
        <v>2.1</v>
      </c>
      <c r="P321" s="95">
        <f t="shared" ref="P321:P323" si="310">IF(F321=0,"",O321*M321)</f>
        <v>157.5</v>
      </c>
      <c r="Q321" s="98">
        <f t="shared" ref="Q321:Q323" si="311">IF(F321=0,"",L321+P321)</f>
        <v>633.5</v>
      </c>
      <c r="R321" s="99"/>
    </row>
    <row r="322" spans="1:18" x14ac:dyDescent="0.3">
      <c r="A322" s="86" t="str">
        <f>IF(TRIM(H322)&lt;&gt;"",COUNTA(H$9:$H322)&amp;"","")</f>
        <v>204</v>
      </c>
      <c r="B322" s="242"/>
      <c r="C322" s="263"/>
      <c r="D322" s="260"/>
      <c r="E322" s="100" t="s">
        <v>363</v>
      </c>
      <c r="F322" s="90">
        <v>4</v>
      </c>
      <c r="H322" s="91" t="s">
        <v>239</v>
      </c>
      <c r="I322" s="92">
        <f t="shared" si="305"/>
        <v>0</v>
      </c>
      <c r="J322" s="93">
        <f t="shared" si="306"/>
        <v>4</v>
      </c>
      <c r="K322" s="94">
        <v>102</v>
      </c>
      <c r="L322" s="95">
        <f t="shared" si="307"/>
        <v>408</v>
      </c>
      <c r="M322" s="96">
        <f t="shared" si="308"/>
        <v>75</v>
      </c>
      <c r="N322" s="97">
        <v>0.45</v>
      </c>
      <c r="O322" s="97">
        <f t="shared" si="309"/>
        <v>1.8</v>
      </c>
      <c r="P322" s="95">
        <f t="shared" si="310"/>
        <v>135</v>
      </c>
      <c r="Q322" s="98">
        <f t="shared" si="311"/>
        <v>543</v>
      </c>
      <c r="R322" s="99"/>
    </row>
    <row r="323" spans="1:18" x14ac:dyDescent="0.3">
      <c r="A323" s="86" t="str">
        <f>IF(TRIM(H323)&lt;&gt;"",COUNTA(H$9:$H323)&amp;"","")</f>
        <v>205</v>
      </c>
      <c r="B323" s="242"/>
      <c r="C323" s="263"/>
      <c r="D323" s="260"/>
      <c r="E323" s="100" t="s">
        <v>364</v>
      </c>
      <c r="F323" s="90">
        <v>4</v>
      </c>
      <c r="H323" s="91" t="s">
        <v>239</v>
      </c>
      <c r="I323" s="92">
        <f t="shared" si="305"/>
        <v>0</v>
      </c>
      <c r="J323" s="93">
        <f t="shared" si="306"/>
        <v>4</v>
      </c>
      <c r="K323" s="94">
        <v>93.5</v>
      </c>
      <c r="L323" s="95">
        <f t="shared" si="307"/>
        <v>374</v>
      </c>
      <c r="M323" s="96">
        <f t="shared" si="308"/>
        <v>75</v>
      </c>
      <c r="N323" s="97">
        <v>0.41249999999999998</v>
      </c>
      <c r="O323" s="97">
        <f t="shared" si="309"/>
        <v>1.65</v>
      </c>
      <c r="P323" s="95">
        <f t="shared" si="310"/>
        <v>123.75</v>
      </c>
      <c r="Q323" s="98">
        <f t="shared" si="311"/>
        <v>497.75</v>
      </c>
      <c r="R323" s="99"/>
    </row>
    <row r="324" spans="1:18" x14ac:dyDescent="0.3">
      <c r="A324" s="86" t="str">
        <f>IF(TRIM(H324)&lt;&gt;"",COUNTA(H$9:$H324)&amp;"","")</f>
        <v>206</v>
      </c>
      <c r="B324" s="242"/>
      <c r="C324" s="263"/>
      <c r="D324" s="260"/>
      <c r="E324" s="100" t="s">
        <v>365</v>
      </c>
      <c r="F324" s="90">
        <v>4</v>
      </c>
      <c r="H324" s="91" t="s">
        <v>239</v>
      </c>
      <c r="I324" s="92">
        <f t="shared" si="277"/>
        <v>0</v>
      </c>
      <c r="J324" s="93">
        <f t="shared" si="278"/>
        <v>4</v>
      </c>
      <c r="K324" s="94">
        <v>80.75</v>
      </c>
      <c r="L324" s="95">
        <f t="shared" si="279"/>
        <v>323</v>
      </c>
      <c r="M324" s="96">
        <f t="shared" si="280"/>
        <v>75</v>
      </c>
      <c r="N324" s="97">
        <v>0.35625000000000001</v>
      </c>
      <c r="O324" s="97">
        <f t="shared" si="281"/>
        <v>1.425</v>
      </c>
      <c r="P324" s="95">
        <f t="shared" si="282"/>
        <v>106.875</v>
      </c>
      <c r="Q324" s="98">
        <f t="shared" si="283"/>
        <v>429.875</v>
      </c>
      <c r="R324" s="99"/>
    </row>
    <row r="325" spans="1:18" x14ac:dyDescent="0.3">
      <c r="A325" s="86" t="str">
        <f>IF(TRIM(H325)&lt;&gt;"",COUNTA(H$9:$H325)&amp;"","")</f>
        <v>207</v>
      </c>
      <c r="B325" s="242"/>
      <c r="C325" s="263"/>
      <c r="D325" s="260"/>
      <c r="E325" s="100" t="s">
        <v>366</v>
      </c>
      <c r="F325" s="90">
        <v>4</v>
      </c>
      <c r="H325" s="91" t="s">
        <v>239</v>
      </c>
      <c r="I325" s="92">
        <f t="shared" si="277"/>
        <v>0</v>
      </c>
      <c r="J325" s="93">
        <f t="shared" si="278"/>
        <v>4</v>
      </c>
      <c r="K325" s="94">
        <v>127.5</v>
      </c>
      <c r="L325" s="95">
        <f t="shared" si="279"/>
        <v>510</v>
      </c>
      <c r="M325" s="96">
        <f t="shared" si="280"/>
        <v>75</v>
      </c>
      <c r="N325" s="97">
        <v>0.5625</v>
      </c>
      <c r="O325" s="97">
        <f t="shared" si="281"/>
        <v>2.25</v>
      </c>
      <c r="P325" s="95">
        <f t="shared" si="282"/>
        <v>168.75</v>
      </c>
      <c r="Q325" s="98">
        <f t="shared" si="283"/>
        <v>678.75</v>
      </c>
      <c r="R325" s="99"/>
    </row>
    <row r="326" spans="1:18" x14ac:dyDescent="0.3">
      <c r="A326" s="86" t="str">
        <f>IF(TRIM(H326)&lt;&gt;"",COUNTA(H$9:$H326)&amp;"","")</f>
        <v>208</v>
      </c>
      <c r="B326" s="242"/>
      <c r="C326" s="263"/>
      <c r="D326" s="260"/>
      <c r="E326" s="100" t="s">
        <v>367</v>
      </c>
      <c r="F326" s="90">
        <v>1</v>
      </c>
      <c r="H326" s="91" t="s">
        <v>239</v>
      </c>
      <c r="I326" s="92">
        <f t="shared" si="277"/>
        <v>0</v>
      </c>
      <c r="J326" s="93">
        <f t="shared" si="278"/>
        <v>1</v>
      </c>
      <c r="K326" s="94">
        <v>140.25</v>
      </c>
      <c r="L326" s="95">
        <f t="shared" si="279"/>
        <v>140.25</v>
      </c>
      <c r="M326" s="96">
        <f t="shared" si="280"/>
        <v>75</v>
      </c>
      <c r="N326" s="97">
        <v>0.61875000000000002</v>
      </c>
      <c r="O326" s="97">
        <f t="shared" si="281"/>
        <v>0.61875000000000002</v>
      </c>
      <c r="P326" s="95">
        <f t="shared" si="282"/>
        <v>46.40625</v>
      </c>
      <c r="Q326" s="98">
        <f t="shared" si="283"/>
        <v>186.65625</v>
      </c>
      <c r="R326" s="99"/>
    </row>
    <row r="327" spans="1:18" x14ac:dyDescent="0.3">
      <c r="A327" s="86" t="str">
        <f>IF(TRIM(H327)&lt;&gt;"",COUNTA(H$9:$H327)&amp;"","")</f>
        <v>209</v>
      </c>
      <c r="B327" s="242"/>
      <c r="C327" s="263"/>
      <c r="D327" s="260"/>
      <c r="E327" s="100" t="s">
        <v>368</v>
      </c>
      <c r="F327" s="90">
        <v>1</v>
      </c>
      <c r="H327" s="91" t="s">
        <v>239</v>
      </c>
      <c r="I327" s="92">
        <f t="shared" ref="I327:I329" si="312">IF(F327=0,"",0)</f>
        <v>0</v>
      </c>
      <c r="J327" s="93">
        <f t="shared" ref="J327:J329" si="313">IF(F327=0,"",F327+(F327*I327))</f>
        <v>1</v>
      </c>
      <c r="K327" s="94">
        <v>292.1875</v>
      </c>
      <c r="L327" s="95">
        <f t="shared" ref="L327:L329" si="314">IF(F327=0,"",K327*J327)</f>
        <v>292.1875</v>
      </c>
      <c r="M327" s="96">
        <f t="shared" ref="M327:M329" si="315">IF(F327=0,"",M$7)</f>
        <v>75</v>
      </c>
      <c r="N327" s="97">
        <v>1.2890625</v>
      </c>
      <c r="O327" s="97">
        <f t="shared" ref="O327:O329" si="316">IF(F327=0,"",N327*J327)</f>
        <v>1.2890625</v>
      </c>
      <c r="P327" s="95">
        <f t="shared" ref="P327:P329" si="317">IF(F327=0,"",O327*M327)</f>
        <v>96.6796875</v>
      </c>
      <c r="Q327" s="98">
        <f t="shared" ref="Q327:Q329" si="318">IF(F327=0,"",L327+P327)</f>
        <v>388.8671875</v>
      </c>
      <c r="R327" s="99"/>
    </row>
    <row r="328" spans="1:18" x14ac:dyDescent="0.3">
      <c r="A328" s="86" t="str">
        <f>IF(TRIM(H328)&lt;&gt;"",COUNTA(H$9:$H328)&amp;"","")</f>
        <v>210</v>
      </c>
      <c r="B328" s="243"/>
      <c r="C328" s="264"/>
      <c r="D328" s="261"/>
      <c r="E328" s="100" t="s">
        <v>369</v>
      </c>
      <c r="F328" s="90">
        <v>4</v>
      </c>
      <c r="H328" s="91" t="s">
        <v>239</v>
      </c>
      <c r="I328" s="92">
        <f t="shared" si="312"/>
        <v>0</v>
      </c>
      <c r="J328" s="93">
        <f t="shared" si="313"/>
        <v>4</v>
      </c>
      <c r="K328" s="94">
        <v>120.7</v>
      </c>
      <c r="L328" s="95">
        <f t="shared" si="314"/>
        <v>482.8</v>
      </c>
      <c r="M328" s="96">
        <f t="shared" si="315"/>
        <v>75</v>
      </c>
      <c r="N328" s="97">
        <v>0.53249999999999997</v>
      </c>
      <c r="O328" s="97">
        <f t="shared" si="316"/>
        <v>2.13</v>
      </c>
      <c r="P328" s="95">
        <f t="shared" si="317"/>
        <v>159.75</v>
      </c>
      <c r="Q328" s="98">
        <f t="shared" si="318"/>
        <v>642.54999999999995</v>
      </c>
      <c r="R328" s="99"/>
    </row>
    <row r="329" spans="1:18" x14ac:dyDescent="0.3">
      <c r="A329" s="86" t="str">
        <f>IF(TRIM(H329)&lt;&gt;"",COUNTA(H$9:$H329)&amp;"","")</f>
        <v>211</v>
      </c>
      <c r="B329" s="87" t="s">
        <v>394</v>
      </c>
      <c r="C329" s="87"/>
      <c r="D329" s="87" t="s">
        <v>402</v>
      </c>
      <c r="E329" s="100" t="s">
        <v>403</v>
      </c>
      <c r="F329" s="90">
        <v>28</v>
      </c>
      <c r="H329" s="91" t="s">
        <v>239</v>
      </c>
      <c r="I329" s="92">
        <f t="shared" si="312"/>
        <v>0</v>
      </c>
      <c r="J329" s="93">
        <f t="shared" si="313"/>
        <v>28</v>
      </c>
      <c r="K329" s="94">
        <v>72.25</v>
      </c>
      <c r="L329" s="95">
        <f t="shared" si="314"/>
        <v>2023</v>
      </c>
      <c r="M329" s="96">
        <f t="shared" si="315"/>
        <v>75</v>
      </c>
      <c r="N329" s="97">
        <v>0.31874999999999998</v>
      </c>
      <c r="O329" s="97">
        <f t="shared" si="316"/>
        <v>8.9249999999999989</v>
      </c>
      <c r="P329" s="95">
        <f t="shared" si="317"/>
        <v>669.37499999999989</v>
      </c>
      <c r="Q329" s="98">
        <f t="shared" si="318"/>
        <v>2692.375</v>
      </c>
      <c r="R329" s="99"/>
    </row>
    <row r="330" spans="1:18" x14ac:dyDescent="0.3">
      <c r="A330" s="86" t="str">
        <f>IF(TRIM(H330)&lt;&gt;"",COUNTA(H$9:$H330)&amp;"","")</f>
        <v>212</v>
      </c>
      <c r="B330" s="87" t="s">
        <v>374</v>
      </c>
      <c r="C330" s="87"/>
      <c r="D330" s="88"/>
      <c r="E330" s="100" t="s">
        <v>405</v>
      </c>
      <c r="F330" s="90">
        <v>8</v>
      </c>
      <c r="H330" s="91" t="s">
        <v>239</v>
      </c>
      <c r="I330" s="92">
        <f t="shared" si="277"/>
        <v>0</v>
      </c>
      <c r="J330" s="93">
        <f t="shared" si="278"/>
        <v>8</v>
      </c>
      <c r="K330" s="94">
        <v>21.25</v>
      </c>
      <c r="L330" s="95">
        <f t="shared" si="279"/>
        <v>170</v>
      </c>
      <c r="M330" s="96">
        <f t="shared" si="280"/>
        <v>75</v>
      </c>
      <c r="N330" s="97">
        <v>9.375E-2</v>
      </c>
      <c r="O330" s="97">
        <f t="shared" si="281"/>
        <v>0.75</v>
      </c>
      <c r="P330" s="95">
        <f t="shared" si="282"/>
        <v>56.25</v>
      </c>
      <c r="Q330" s="98">
        <f t="shared" si="283"/>
        <v>226.25</v>
      </c>
      <c r="R330" s="99"/>
    </row>
    <row r="331" spans="1:18" s="116" customFormat="1" ht="19.2" customHeight="1" x14ac:dyDescent="0.3">
      <c r="A331" s="86" t="str">
        <f>IF(TRIM(H331)&lt;&gt;"",COUNTA(H$9:$H331)&amp;"","")</f>
        <v/>
      </c>
      <c r="B331" s="115"/>
      <c r="C331" s="115"/>
      <c r="D331" s="88" t="s">
        <v>131</v>
      </c>
      <c r="E331" s="164" t="s">
        <v>130</v>
      </c>
      <c r="F331" s="90"/>
      <c r="H331" s="91"/>
      <c r="I331" s="92" t="str">
        <f t="shared" si="277"/>
        <v/>
      </c>
      <c r="J331" s="93" t="str">
        <f t="shared" si="278"/>
        <v/>
      </c>
      <c r="K331" s="94" t="s">
        <v>549</v>
      </c>
      <c r="L331" s="95" t="str">
        <f t="shared" si="279"/>
        <v/>
      </c>
      <c r="M331" s="96" t="str">
        <f t="shared" si="280"/>
        <v/>
      </c>
      <c r="N331" s="97" t="s">
        <v>549</v>
      </c>
      <c r="O331" s="97" t="str">
        <f t="shared" si="281"/>
        <v/>
      </c>
      <c r="P331" s="95" t="str">
        <f t="shared" si="282"/>
        <v/>
      </c>
      <c r="Q331" s="98" t="str">
        <f t="shared" si="283"/>
        <v/>
      </c>
      <c r="R331" s="99"/>
    </row>
    <row r="332" spans="1:18" x14ac:dyDescent="0.3">
      <c r="A332" s="86" t="str">
        <f>IF(TRIM(H332)&lt;&gt;"",COUNTA(H$9:$H332)&amp;"","")</f>
        <v>213</v>
      </c>
      <c r="B332" s="87" t="s">
        <v>354</v>
      </c>
      <c r="C332" s="87"/>
      <c r="D332" s="87" t="s">
        <v>384</v>
      </c>
      <c r="E332" s="100" t="s">
        <v>383</v>
      </c>
      <c r="F332" s="90">
        <v>4</v>
      </c>
      <c r="H332" s="91" t="s">
        <v>239</v>
      </c>
      <c r="I332" s="92">
        <f t="shared" si="277"/>
        <v>0</v>
      </c>
      <c r="J332" s="93">
        <f t="shared" si="278"/>
        <v>4</v>
      </c>
      <c r="K332" s="94">
        <v>212.5</v>
      </c>
      <c r="L332" s="95">
        <f t="shared" si="279"/>
        <v>850</v>
      </c>
      <c r="M332" s="96">
        <f t="shared" si="280"/>
        <v>75</v>
      </c>
      <c r="N332" s="97">
        <v>0.9375</v>
      </c>
      <c r="O332" s="97">
        <f t="shared" si="281"/>
        <v>3.75</v>
      </c>
      <c r="P332" s="95">
        <f t="shared" si="282"/>
        <v>281.25</v>
      </c>
      <c r="Q332" s="98">
        <f t="shared" si="283"/>
        <v>1131.25</v>
      </c>
      <c r="R332" s="99"/>
    </row>
    <row r="333" spans="1:18" s="116" customFormat="1" ht="19.2" customHeight="1" x14ac:dyDescent="0.3">
      <c r="A333" s="86" t="str">
        <f>IF(TRIM(H333)&lt;&gt;"",COUNTA(H$9:$H333)&amp;"","")</f>
        <v/>
      </c>
      <c r="B333" s="115"/>
      <c r="C333" s="115"/>
      <c r="D333" s="88" t="s">
        <v>133</v>
      </c>
      <c r="E333" s="164" t="s">
        <v>132</v>
      </c>
      <c r="F333" s="90"/>
      <c r="H333" s="91"/>
      <c r="I333" s="92" t="str">
        <f t="shared" si="277"/>
        <v/>
      </c>
      <c r="J333" s="93" t="str">
        <f t="shared" si="278"/>
        <v/>
      </c>
      <c r="K333" s="94" t="s">
        <v>549</v>
      </c>
      <c r="L333" s="95" t="str">
        <f t="shared" si="279"/>
        <v/>
      </c>
      <c r="M333" s="96" t="str">
        <f t="shared" si="280"/>
        <v/>
      </c>
      <c r="N333" s="97" t="s">
        <v>549</v>
      </c>
      <c r="O333" s="97" t="str">
        <f t="shared" si="281"/>
        <v/>
      </c>
      <c r="P333" s="95" t="str">
        <f t="shared" si="282"/>
        <v/>
      </c>
      <c r="Q333" s="98" t="str">
        <f t="shared" si="283"/>
        <v/>
      </c>
      <c r="R333" s="99"/>
    </row>
    <row r="334" spans="1:18" x14ac:dyDescent="0.3">
      <c r="A334" s="86" t="str">
        <f>IF(TRIM(H334)&lt;&gt;"",COUNTA(H$9:$H334)&amp;"","")</f>
        <v>214</v>
      </c>
      <c r="B334" s="87" t="s">
        <v>394</v>
      </c>
      <c r="C334" s="87" t="s">
        <v>396</v>
      </c>
      <c r="D334" s="87" t="s">
        <v>238</v>
      </c>
      <c r="E334" s="100" t="s">
        <v>395</v>
      </c>
      <c r="F334" s="90">
        <v>13</v>
      </c>
      <c r="H334" s="91" t="s">
        <v>210</v>
      </c>
      <c r="I334" s="92">
        <f t="shared" ref="I334:I336" si="319">IF(F334=0,"",0)</f>
        <v>0</v>
      </c>
      <c r="J334" s="93">
        <f t="shared" ref="J334:J336" si="320">IF(F334=0,"",F334+(F334*I334))</f>
        <v>13</v>
      </c>
      <c r="K334" s="94">
        <v>87.5</v>
      </c>
      <c r="L334" s="95">
        <f t="shared" ref="L334:L336" si="321">IF(F334=0,"",K334*J334)</f>
        <v>1137.5</v>
      </c>
      <c r="M334" s="96">
        <f t="shared" ref="M334:M336" si="322">IF(F334=0,"",M$7)</f>
        <v>75</v>
      </c>
      <c r="N334" s="97">
        <v>0.9375</v>
      </c>
      <c r="O334" s="97">
        <f t="shared" ref="O334:O336" si="323">IF(F334=0,"",N334*J334)</f>
        <v>12.1875</v>
      </c>
      <c r="P334" s="95">
        <f t="shared" ref="P334:P336" si="324">IF(F334=0,"",O334*M334)</f>
        <v>914.0625</v>
      </c>
      <c r="Q334" s="98">
        <f t="shared" ref="Q334:Q336" si="325">IF(F334=0,"",L334+P334)</f>
        <v>2051.5625</v>
      </c>
      <c r="R334" s="99"/>
    </row>
    <row r="335" spans="1:18" x14ac:dyDescent="0.3">
      <c r="A335" s="86" t="str">
        <f>IF(TRIM(H335)&lt;&gt;"",COUNTA(H$9:$H335)&amp;"","")</f>
        <v>215</v>
      </c>
      <c r="B335" s="87" t="s">
        <v>394</v>
      </c>
      <c r="C335" s="87"/>
      <c r="D335" s="87" t="s">
        <v>349</v>
      </c>
      <c r="E335" s="100" t="s">
        <v>397</v>
      </c>
      <c r="F335" s="90">
        <v>80</v>
      </c>
      <c r="H335" s="91" t="s">
        <v>210</v>
      </c>
      <c r="I335" s="92">
        <f t="shared" si="319"/>
        <v>0</v>
      </c>
      <c r="J335" s="93">
        <f t="shared" si="320"/>
        <v>80</v>
      </c>
      <c r="K335" s="94">
        <v>85.4</v>
      </c>
      <c r="L335" s="95">
        <f t="shared" si="321"/>
        <v>6832</v>
      </c>
      <c r="M335" s="96">
        <f t="shared" si="322"/>
        <v>75</v>
      </c>
      <c r="N335" s="97">
        <v>0.91500000000000004</v>
      </c>
      <c r="O335" s="97">
        <f t="shared" si="323"/>
        <v>73.2</v>
      </c>
      <c r="P335" s="95">
        <f t="shared" si="324"/>
        <v>5490</v>
      </c>
      <c r="Q335" s="98">
        <f t="shared" si="325"/>
        <v>12322</v>
      </c>
      <c r="R335" s="99"/>
    </row>
    <row r="336" spans="1:18" ht="15" thickBot="1" x14ac:dyDescent="0.35">
      <c r="A336" s="86" t="str">
        <f>IF(TRIM(H336)&lt;&gt;"",COUNTA(H$9:$H336)&amp;"","")</f>
        <v/>
      </c>
      <c r="B336" s="101"/>
      <c r="C336" s="101"/>
      <c r="D336" s="88"/>
      <c r="E336" s="102"/>
      <c r="F336" s="90"/>
      <c r="H336" s="91"/>
      <c r="I336" s="92" t="str">
        <f t="shared" si="319"/>
        <v/>
      </c>
      <c r="J336" s="93" t="str">
        <f t="shared" si="320"/>
        <v/>
      </c>
      <c r="K336" s="94" t="str">
        <f t="shared" ref="K336" si="326">IF(F336=0,"",0)</f>
        <v/>
      </c>
      <c r="L336" s="95" t="str">
        <f t="shared" si="321"/>
        <v/>
      </c>
      <c r="M336" s="96" t="str">
        <f t="shared" si="322"/>
        <v/>
      </c>
      <c r="N336" s="97" t="str">
        <f t="shared" ref="N336" si="327">IF(F336=0,"",0)</f>
        <v/>
      </c>
      <c r="O336" s="97" t="str">
        <f t="shared" si="323"/>
        <v/>
      </c>
      <c r="P336" s="95" t="str">
        <f t="shared" si="324"/>
        <v/>
      </c>
      <c r="Q336" s="98" t="str">
        <f t="shared" si="325"/>
        <v/>
      </c>
      <c r="R336" s="99"/>
    </row>
    <row r="337" spans="1:18" s="114" customFormat="1" ht="16.2" thickBot="1" x14ac:dyDescent="0.35">
      <c r="A337" s="86" t="str">
        <f>IF(TRIM(H337)&lt;&gt;"",COUNTA(H$9:$H337)&amp;"","")</f>
        <v/>
      </c>
      <c r="B337" s="121"/>
      <c r="C337" s="121"/>
      <c r="D337" s="122"/>
      <c r="E337" s="105"/>
      <c r="F337" s="90"/>
      <c r="H337" s="123"/>
      <c r="I337" s="108" t="s">
        <v>12</v>
      </c>
      <c r="J337" s="109"/>
      <c r="K337" s="110">
        <f>SUM(L$295:L$336)</f>
        <v>17342.237499999999</v>
      </c>
      <c r="L337" s="190" t="s">
        <v>13</v>
      </c>
      <c r="M337" s="191"/>
      <c r="N337" s="111">
        <f>SUM(P$295:P$336)</f>
        <v>14811.21484375</v>
      </c>
      <c r="O337" s="190" t="s">
        <v>42</v>
      </c>
      <c r="P337" s="191"/>
      <c r="Q337" s="112">
        <f>SUM(O$295:O$336)</f>
        <v>197.48286458333331</v>
      </c>
      <c r="R337" s="113">
        <f>SUM(Q$295:Q$336)</f>
        <v>32153.452343749999</v>
      </c>
    </row>
    <row r="338" spans="1:18" s="171" customFormat="1" ht="20.100000000000001" customHeight="1" x14ac:dyDescent="0.3">
      <c r="A338" s="167" t="str">
        <f>IF(TRIM(H338)&lt;&gt;"",COUNTA(H$9:$H338)&amp;"","")</f>
        <v/>
      </c>
      <c r="B338" s="168"/>
      <c r="C338" s="168"/>
      <c r="D338" s="169" t="s">
        <v>62</v>
      </c>
      <c r="E338" s="169" t="s">
        <v>134</v>
      </c>
      <c r="F338" s="170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72"/>
    </row>
    <row r="339" spans="1:18" ht="27.6" x14ac:dyDescent="0.3">
      <c r="A339" s="86" t="str">
        <f>IF(TRIM(H339)&lt;&gt;"",COUNTA(H$9:$H339)&amp;"","")</f>
        <v>216</v>
      </c>
      <c r="B339" s="87" t="s">
        <v>410</v>
      </c>
      <c r="C339" s="87"/>
      <c r="D339" s="87" t="s">
        <v>412</v>
      </c>
      <c r="E339" s="89" t="s">
        <v>411</v>
      </c>
      <c r="F339" s="90">
        <v>3</v>
      </c>
      <c r="H339" s="91" t="s">
        <v>239</v>
      </c>
      <c r="I339" s="92">
        <f t="shared" ref="I339:I343" si="328">IF(F339=0,"",0)</f>
        <v>0</v>
      </c>
      <c r="J339" s="93">
        <f t="shared" ref="J339:J343" si="329">IF(F339=0,"",F339+(F339*I339))</f>
        <v>3</v>
      </c>
      <c r="K339" s="94">
        <v>0</v>
      </c>
      <c r="L339" s="95">
        <f t="shared" ref="L339:L343" si="330">IF(F339=0,"",K339*J339)</f>
        <v>0</v>
      </c>
      <c r="M339" s="96">
        <f t="shared" ref="M339:M343" si="331">IF(F339=0,"",M$7)</f>
        <v>75</v>
      </c>
      <c r="N339" s="97">
        <v>0.28125</v>
      </c>
      <c r="O339" s="97">
        <f t="shared" ref="O339:O343" si="332">IF(F339=0,"",N339*J339)</f>
        <v>0.84375</v>
      </c>
      <c r="P339" s="95">
        <f t="shared" ref="P339:P343" si="333">IF(F339=0,"",O339*M339)</f>
        <v>63.28125</v>
      </c>
      <c r="Q339" s="98">
        <f t="shared" ref="Q339:Q343" si="334">IF(F339=0,"",L339+P339)</f>
        <v>63.28125</v>
      </c>
      <c r="R339" s="99"/>
    </row>
    <row r="340" spans="1:18" s="116" customFormat="1" ht="19.2" customHeight="1" x14ac:dyDescent="0.3">
      <c r="A340" s="86" t="str">
        <f>IF(TRIM(H340)&lt;&gt;"",COUNTA(H$9:$H340)&amp;"","")</f>
        <v/>
      </c>
      <c r="B340" s="115"/>
      <c r="C340" s="115"/>
      <c r="D340" s="88"/>
      <c r="E340" s="164" t="s">
        <v>353</v>
      </c>
      <c r="F340" s="90"/>
      <c r="H340" s="91"/>
      <c r="I340" s="92" t="str">
        <f t="shared" si="328"/>
        <v/>
      </c>
      <c r="J340" s="93" t="str">
        <f t="shared" si="329"/>
        <v/>
      </c>
      <c r="K340" s="94" t="s">
        <v>549</v>
      </c>
      <c r="L340" s="95" t="str">
        <f t="shared" si="330"/>
        <v/>
      </c>
      <c r="M340" s="96" t="str">
        <f t="shared" si="331"/>
        <v/>
      </c>
      <c r="N340" s="97" t="s">
        <v>549</v>
      </c>
      <c r="O340" s="97" t="str">
        <f t="shared" si="332"/>
        <v/>
      </c>
      <c r="P340" s="95" t="str">
        <f t="shared" si="333"/>
        <v/>
      </c>
      <c r="Q340" s="98" t="str">
        <f t="shared" si="334"/>
        <v/>
      </c>
      <c r="R340" s="99"/>
    </row>
    <row r="341" spans="1:18" ht="27.6" x14ac:dyDescent="0.3">
      <c r="A341" s="86" t="str">
        <f>IF(TRIM(H341)&lt;&gt;"",COUNTA(H$9:$H341)&amp;"","")</f>
        <v>217</v>
      </c>
      <c r="B341" s="87" t="s">
        <v>354</v>
      </c>
      <c r="C341" s="87"/>
      <c r="D341" s="87" t="s">
        <v>355</v>
      </c>
      <c r="E341" s="100" t="s">
        <v>356</v>
      </c>
      <c r="F341" s="90">
        <v>1</v>
      </c>
      <c r="H341" s="91" t="s">
        <v>239</v>
      </c>
      <c r="I341" s="92">
        <f t="shared" si="328"/>
        <v>0</v>
      </c>
      <c r="J341" s="93">
        <f t="shared" si="329"/>
        <v>1</v>
      </c>
      <c r="K341" s="94">
        <v>2350</v>
      </c>
      <c r="L341" s="95">
        <f t="shared" si="330"/>
        <v>2350</v>
      </c>
      <c r="M341" s="96">
        <f t="shared" si="331"/>
        <v>75</v>
      </c>
      <c r="N341" s="97">
        <v>14.6875</v>
      </c>
      <c r="O341" s="97">
        <f t="shared" si="332"/>
        <v>14.6875</v>
      </c>
      <c r="P341" s="95">
        <f t="shared" si="333"/>
        <v>1101.5625</v>
      </c>
      <c r="Q341" s="98">
        <f t="shared" si="334"/>
        <v>3451.5625</v>
      </c>
      <c r="R341" s="99"/>
    </row>
    <row r="342" spans="1:18" ht="27.6" x14ac:dyDescent="0.3">
      <c r="A342" s="86" t="str">
        <f>IF(TRIM(H342)&lt;&gt;"",COUNTA(H$9:$H342)&amp;"","")</f>
        <v>218</v>
      </c>
      <c r="B342" s="87" t="s">
        <v>354</v>
      </c>
      <c r="C342" s="87"/>
      <c r="D342" s="87" t="s">
        <v>248</v>
      </c>
      <c r="E342" s="100" t="s">
        <v>357</v>
      </c>
      <c r="F342" s="90">
        <v>1</v>
      </c>
      <c r="H342" s="91" t="s">
        <v>239</v>
      </c>
      <c r="I342" s="92">
        <f t="shared" si="328"/>
        <v>0</v>
      </c>
      <c r="J342" s="93">
        <f t="shared" si="329"/>
        <v>1</v>
      </c>
      <c r="K342" s="94">
        <v>0</v>
      </c>
      <c r="L342" s="95">
        <f t="shared" si="330"/>
        <v>0</v>
      </c>
      <c r="M342" s="96">
        <f t="shared" si="331"/>
        <v>75</v>
      </c>
      <c r="N342" s="97">
        <v>2.25</v>
      </c>
      <c r="O342" s="97">
        <f t="shared" si="332"/>
        <v>2.25</v>
      </c>
      <c r="P342" s="95">
        <f t="shared" si="333"/>
        <v>168.75</v>
      </c>
      <c r="Q342" s="98">
        <f t="shared" si="334"/>
        <v>168.75</v>
      </c>
      <c r="R342" s="99"/>
    </row>
    <row r="343" spans="1:18" s="116" customFormat="1" ht="19.2" customHeight="1" x14ac:dyDescent="0.3">
      <c r="A343" s="86" t="str">
        <f>IF(TRIM(H343)&lt;&gt;"",COUNTA(H$9:$H343)&amp;"","")</f>
        <v/>
      </c>
      <c r="B343" s="115"/>
      <c r="C343" s="115"/>
      <c r="D343" s="88" t="s">
        <v>136</v>
      </c>
      <c r="E343" s="164" t="s">
        <v>135</v>
      </c>
      <c r="F343" s="90"/>
      <c r="H343" s="91"/>
      <c r="I343" s="92" t="str">
        <f t="shared" si="328"/>
        <v/>
      </c>
      <c r="J343" s="93" t="str">
        <f t="shared" si="329"/>
        <v/>
      </c>
      <c r="K343" s="94" t="s">
        <v>549</v>
      </c>
      <c r="L343" s="95" t="str">
        <f t="shared" si="330"/>
        <v/>
      </c>
      <c r="M343" s="96" t="str">
        <f t="shared" si="331"/>
        <v/>
      </c>
      <c r="N343" s="97" t="s">
        <v>549</v>
      </c>
      <c r="O343" s="97" t="str">
        <f t="shared" si="332"/>
        <v/>
      </c>
      <c r="P343" s="95" t="str">
        <f t="shared" si="333"/>
        <v/>
      </c>
      <c r="Q343" s="98" t="str">
        <f t="shared" si="334"/>
        <v/>
      </c>
      <c r="R343" s="99"/>
    </row>
    <row r="344" spans="1:18" ht="27.6" x14ac:dyDescent="0.3">
      <c r="A344" s="86" t="str">
        <f>IF(TRIM(H344)&lt;&gt;"",COUNTA(H$9:$H344)&amp;"","")</f>
        <v>219</v>
      </c>
      <c r="B344" s="87" t="s">
        <v>354</v>
      </c>
      <c r="C344" s="87"/>
      <c r="D344" s="87" t="s">
        <v>386</v>
      </c>
      <c r="E344" s="100" t="s">
        <v>385</v>
      </c>
      <c r="F344" s="90">
        <v>1</v>
      </c>
      <c r="H344" s="91" t="s">
        <v>239</v>
      </c>
      <c r="I344" s="92">
        <f t="shared" ref="I344:I345" si="335">IF(F344=0,"",0)</f>
        <v>0</v>
      </c>
      <c r="J344" s="93">
        <f t="shared" ref="J344:J345" si="336">IF(F344=0,"",F344+(F344*I344))</f>
        <v>1</v>
      </c>
      <c r="K344" s="94">
        <v>0</v>
      </c>
      <c r="L344" s="95">
        <f t="shared" ref="L344:L345" si="337">IF(F344=0,"",K344*J344)</f>
        <v>0</v>
      </c>
      <c r="M344" s="96">
        <f t="shared" ref="M344:M345" si="338">IF(F344=0,"",M$7)</f>
        <v>75</v>
      </c>
      <c r="N344" s="97">
        <v>4.5</v>
      </c>
      <c r="O344" s="97">
        <f t="shared" ref="O344:O345" si="339">IF(F344=0,"",N344*J344)</f>
        <v>4.5</v>
      </c>
      <c r="P344" s="95">
        <f t="shared" ref="P344:P345" si="340">IF(F344=0,"",O344*M344)</f>
        <v>337.5</v>
      </c>
      <c r="Q344" s="98">
        <f t="shared" ref="Q344:Q345" si="341">IF(F344=0,"",L344+P344)</f>
        <v>337.5</v>
      </c>
      <c r="R344" s="99"/>
    </row>
    <row r="345" spans="1:18" ht="15" thickBot="1" x14ac:dyDescent="0.35">
      <c r="A345" s="86" t="str">
        <f>IF(TRIM(H345)&lt;&gt;"",COUNTA(H$9:$H345)&amp;"","")</f>
        <v/>
      </c>
      <c r="B345" s="101"/>
      <c r="C345" s="101"/>
      <c r="D345" s="88"/>
      <c r="E345" s="102"/>
      <c r="F345" s="90"/>
      <c r="H345" s="91"/>
      <c r="I345" s="92" t="str">
        <f t="shared" si="335"/>
        <v/>
      </c>
      <c r="J345" s="93" t="str">
        <f t="shared" si="336"/>
        <v/>
      </c>
      <c r="K345" s="94" t="str">
        <f t="shared" ref="K345" si="342">IF(F345=0,"",0)</f>
        <v/>
      </c>
      <c r="L345" s="95" t="str">
        <f t="shared" si="337"/>
        <v/>
      </c>
      <c r="M345" s="96" t="str">
        <f t="shared" si="338"/>
        <v/>
      </c>
      <c r="N345" s="97" t="str">
        <f t="shared" ref="N345" si="343">IF(F345=0,"",0)</f>
        <v/>
      </c>
      <c r="O345" s="97" t="str">
        <f t="shared" si="339"/>
        <v/>
      </c>
      <c r="P345" s="95" t="str">
        <f t="shared" si="340"/>
        <v/>
      </c>
      <c r="Q345" s="98" t="str">
        <f t="shared" si="341"/>
        <v/>
      </c>
      <c r="R345" s="99"/>
    </row>
    <row r="346" spans="1:18" s="114" customFormat="1" ht="16.2" thickBot="1" x14ac:dyDescent="0.35">
      <c r="A346" s="86" t="str">
        <f>IF(TRIM(H346)&lt;&gt;"",COUNTA(H$9:$H346)&amp;"","")</f>
        <v/>
      </c>
      <c r="B346" s="121"/>
      <c r="C346" s="121"/>
      <c r="D346" s="122"/>
      <c r="E346" s="105"/>
      <c r="F346" s="90"/>
      <c r="H346" s="123"/>
      <c r="I346" s="108" t="s">
        <v>12</v>
      </c>
      <c r="J346" s="109"/>
      <c r="K346" s="110">
        <f>SUM(L$338:L$345)</f>
        <v>2350</v>
      </c>
      <c r="L346" s="190" t="s">
        <v>13</v>
      </c>
      <c r="M346" s="191"/>
      <c r="N346" s="111">
        <f>SUM(P$338:P$345)</f>
        <v>1671.09375</v>
      </c>
      <c r="O346" s="190" t="s">
        <v>42</v>
      </c>
      <c r="P346" s="191"/>
      <c r="Q346" s="112">
        <f>SUM(O$338:O$345)</f>
        <v>22.28125</v>
      </c>
      <c r="R346" s="113">
        <f>SUM(Q$338:Q$345)</f>
        <v>4021.09375</v>
      </c>
    </row>
    <row r="347" spans="1:18" s="171" customFormat="1" ht="20.100000000000001" customHeight="1" x14ac:dyDescent="0.3">
      <c r="A347" s="167" t="str">
        <f>IF(TRIM(H347)&lt;&gt;"",COUNTA(H$9:$H347)&amp;"","")</f>
        <v/>
      </c>
      <c r="B347" s="168"/>
      <c r="C347" s="168"/>
      <c r="D347" s="169" t="s">
        <v>64</v>
      </c>
      <c r="E347" s="169" t="s">
        <v>137</v>
      </c>
      <c r="F347" s="170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72"/>
    </row>
    <row r="348" spans="1:18" x14ac:dyDescent="0.3">
      <c r="A348" s="86" t="str">
        <f>IF(TRIM(H348)&lt;&gt;"",COUNTA(H$9:$H348)&amp;"","")</f>
        <v>220</v>
      </c>
      <c r="B348" s="87" t="s">
        <v>354</v>
      </c>
      <c r="C348" s="87" t="s">
        <v>374</v>
      </c>
      <c r="D348" s="87" t="s">
        <v>373</v>
      </c>
      <c r="E348" s="89" t="s">
        <v>375</v>
      </c>
      <c r="F348" s="90">
        <v>1</v>
      </c>
      <c r="H348" s="91" t="s">
        <v>239</v>
      </c>
      <c r="I348" s="92">
        <f t="shared" ref="I348" si="344">IF(F348=0,"",0)</f>
        <v>0</v>
      </c>
      <c r="J348" s="93">
        <f t="shared" ref="J348" si="345">IF(F348=0,"",F348+(F348*I348))</f>
        <v>1</v>
      </c>
      <c r="K348" s="94">
        <v>1400</v>
      </c>
      <c r="L348" s="95">
        <f t="shared" ref="L348" si="346">IF(F348=0,"",K348*J348)</f>
        <v>1400</v>
      </c>
      <c r="M348" s="96">
        <f t="shared" ref="M348" si="347">IF(F348=0,"",M$7)</f>
        <v>75</v>
      </c>
      <c r="N348" s="97">
        <v>15</v>
      </c>
      <c r="O348" s="97">
        <f t="shared" ref="O348" si="348">IF(F348=0,"",N348*J348)</f>
        <v>15</v>
      </c>
      <c r="P348" s="95">
        <f t="shared" ref="P348" si="349">IF(F348=0,"",O348*M348)</f>
        <v>1125</v>
      </c>
      <c r="Q348" s="98">
        <f t="shared" ref="Q348" si="350">IF(F348=0,"",L348+P348)</f>
        <v>2525</v>
      </c>
      <c r="R348" s="99"/>
    </row>
    <row r="349" spans="1:18" s="116" customFormat="1" ht="19.2" customHeight="1" x14ac:dyDescent="0.3">
      <c r="A349" s="86" t="str">
        <f>IF(TRIM(H349)&lt;&gt;"",COUNTA(H$9:$H349)&amp;"","")</f>
        <v/>
      </c>
      <c r="B349" s="115"/>
      <c r="C349" s="115"/>
      <c r="D349" s="88" t="s">
        <v>139</v>
      </c>
      <c r="E349" s="164" t="s">
        <v>138</v>
      </c>
      <c r="F349" s="90"/>
      <c r="H349" s="91"/>
      <c r="I349" s="92" t="str">
        <f t="shared" ref="I349:I368" si="351">IF(F349=0,"",0)</f>
        <v/>
      </c>
      <c r="J349" s="93" t="str">
        <f t="shared" ref="J349:J368" si="352">IF(F349=0,"",F349+(F349*I349))</f>
        <v/>
      </c>
      <c r="K349" s="94" t="s">
        <v>549</v>
      </c>
      <c r="L349" s="95" t="str">
        <f t="shared" ref="L349:L368" si="353">IF(F349=0,"",K349*J349)</f>
        <v/>
      </c>
      <c r="M349" s="96" t="str">
        <f t="shared" ref="M349:M368" si="354">IF(F349=0,"",M$7)</f>
        <v/>
      </c>
      <c r="N349" s="97" t="s">
        <v>549</v>
      </c>
      <c r="O349" s="97" t="str">
        <f t="shared" ref="O349:O368" si="355">IF(F349=0,"",N349*J349)</f>
        <v/>
      </c>
      <c r="P349" s="95" t="str">
        <f t="shared" ref="P349:P368" si="356">IF(F349=0,"",O349*M349)</f>
        <v/>
      </c>
      <c r="Q349" s="98" t="str">
        <f t="shared" ref="Q349:Q368" si="357">IF(F349=0,"",L349+P349)</f>
        <v/>
      </c>
      <c r="R349" s="99"/>
    </row>
    <row r="350" spans="1:18" ht="27.6" x14ac:dyDescent="0.3">
      <c r="A350" s="86" t="str">
        <f>IF(TRIM(H350)&lt;&gt;"",COUNTA(H$9:$H350)&amp;"","")</f>
        <v>221</v>
      </c>
      <c r="B350" s="87" t="s">
        <v>340</v>
      </c>
      <c r="C350" s="87"/>
      <c r="D350" s="87" t="s">
        <v>342</v>
      </c>
      <c r="E350" s="100" t="s">
        <v>343</v>
      </c>
      <c r="F350" s="90">
        <v>2</v>
      </c>
      <c r="H350" s="91" t="s">
        <v>239</v>
      </c>
      <c r="I350" s="92">
        <f t="shared" si="351"/>
        <v>0</v>
      </c>
      <c r="J350" s="93">
        <f t="shared" si="352"/>
        <v>2</v>
      </c>
      <c r="K350" s="94">
        <v>0</v>
      </c>
      <c r="L350" s="95">
        <f t="shared" si="353"/>
        <v>0</v>
      </c>
      <c r="M350" s="96">
        <f t="shared" si="354"/>
        <v>75</v>
      </c>
      <c r="N350" s="97">
        <v>2.25</v>
      </c>
      <c r="O350" s="97">
        <f t="shared" si="355"/>
        <v>4.5</v>
      </c>
      <c r="P350" s="95">
        <f t="shared" si="356"/>
        <v>337.5</v>
      </c>
      <c r="Q350" s="98">
        <f t="shared" si="357"/>
        <v>337.5</v>
      </c>
      <c r="R350" s="99"/>
    </row>
    <row r="351" spans="1:18" ht="27.6" x14ac:dyDescent="0.3">
      <c r="A351" s="86" t="str">
        <f>IF(TRIM(H351)&lt;&gt;"",COUNTA(H$9:$H351)&amp;"","")</f>
        <v>222</v>
      </c>
      <c r="B351" s="87" t="s">
        <v>340</v>
      </c>
      <c r="C351" s="87"/>
      <c r="D351" s="87" t="s">
        <v>342</v>
      </c>
      <c r="E351" s="100" t="s">
        <v>344</v>
      </c>
      <c r="F351" s="90">
        <v>1</v>
      </c>
      <c r="H351" s="91" t="s">
        <v>239</v>
      </c>
      <c r="I351" s="92">
        <f t="shared" si="351"/>
        <v>0</v>
      </c>
      <c r="J351" s="93">
        <f t="shared" si="352"/>
        <v>1</v>
      </c>
      <c r="K351" s="94">
        <v>0</v>
      </c>
      <c r="L351" s="95">
        <f t="shared" si="353"/>
        <v>0</v>
      </c>
      <c r="M351" s="96">
        <f t="shared" si="354"/>
        <v>75</v>
      </c>
      <c r="N351" s="97">
        <v>3.7518749999999996</v>
      </c>
      <c r="O351" s="97">
        <f t="shared" si="355"/>
        <v>3.7518749999999996</v>
      </c>
      <c r="P351" s="95">
        <f t="shared" si="356"/>
        <v>281.390625</v>
      </c>
      <c r="Q351" s="98">
        <f t="shared" si="357"/>
        <v>281.390625</v>
      </c>
      <c r="R351" s="99"/>
    </row>
    <row r="352" spans="1:18" ht="27.6" x14ac:dyDescent="0.3">
      <c r="A352" s="86" t="str">
        <f>IF(TRIM(H352)&lt;&gt;"",COUNTA(H$9:$H352)&amp;"","")</f>
        <v>223</v>
      </c>
      <c r="B352" s="87" t="s">
        <v>340</v>
      </c>
      <c r="C352" s="87"/>
      <c r="D352" s="87" t="s">
        <v>342</v>
      </c>
      <c r="E352" s="100" t="s">
        <v>345</v>
      </c>
      <c r="F352" s="90">
        <v>1</v>
      </c>
      <c r="H352" s="91" t="s">
        <v>239</v>
      </c>
      <c r="I352" s="92">
        <f t="shared" si="351"/>
        <v>0</v>
      </c>
      <c r="J352" s="93">
        <f t="shared" si="352"/>
        <v>1</v>
      </c>
      <c r="K352" s="94">
        <v>0</v>
      </c>
      <c r="L352" s="95">
        <f t="shared" si="353"/>
        <v>0</v>
      </c>
      <c r="M352" s="96">
        <f t="shared" si="354"/>
        <v>75</v>
      </c>
      <c r="N352" s="97">
        <v>2.9981249999999999</v>
      </c>
      <c r="O352" s="97">
        <f t="shared" si="355"/>
        <v>2.9981249999999999</v>
      </c>
      <c r="P352" s="95">
        <f t="shared" si="356"/>
        <v>224.859375</v>
      </c>
      <c r="Q352" s="98">
        <f t="shared" si="357"/>
        <v>224.859375</v>
      </c>
      <c r="R352" s="99"/>
    </row>
    <row r="353" spans="1:18" ht="27.6" x14ac:dyDescent="0.3">
      <c r="A353" s="86" t="str">
        <f>IF(TRIM(H353)&lt;&gt;"",COUNTA(H$9:$H353)&amp;"","")</f>
        <v>224</v>
      </c>
      <c r="B353" s="87" t="s">
        <v>340</v>
      </c>
      <c r="C353" s="87"/>
      <c r="D353" s="87" t="s">
        <v>238</v>
      </c>
      <c r="E353" s="100" t="s">
        <v>346</v>
      </c>
      <c r="F353" s="90">
        <v>1</v>
      </c>
      <c r="H353" s="91" t="s">
        <v>239</v>
      </c>
      <c r="I353" s="92">
        <f t="shared" si="351"/>
        <v>0</v>
      </c>
      <c r="J353" s="93">
        <f t="shared" si="352"/>
        <v>1</v>
      </c>
      <c r="K353" s="94">
        <v>0</v>
      </c>
      <c r="L353" s="95">
        <f t="shared" si="353"/>
        <v>0</v>
      </c>
      <c r="M353" s="96">
        <f t="shared" si="354"/>
        <v>75</v>
      </c>
      <c r="N353" s="97">
        <v>5.4375</v>
      </c>
      <c r="O353" s="97">
        <f t="shared" si="355"/>
        <v>5.4375</v>
      </c>
      <c r="P353" s="95">
        <f t="shared" si="356"/>
        <v>407.8125</v>
      </c>
      <c r="Q353" s="98">
        <f t="shared" si="357"/>
        <v>407.8125</v>
      </c>
      <c r="R353" s="99"/>
    </row>
    <row r="354" spans="1:18" ht="27.6" x14ac:dyDescent="0.3">
      <c r="A354" s="86" t="str">
        <f>IF(TRIM(H354)&lt;&gt;"",COUNTA(H$9:$H354)&amp;"","")</f>
        <v>225</v>
      </c>
      <c r="B354" s="87" t="s">
        <v>354</v>
      </c>
      <c r="C354" s="87"/>
      <c r="D354" s="87" t="s">
        <v>372</v>
      </c>
      <c r="E354" s="100" t="s">
        <v>371</v>
      </c>
      <c r="F354" s="90">
        <v>1</v>
      </c>
      <c r="H354" s="91" t="s">
        <v>239</v>
      </c>
      <c r="I354" s="92">
        <f t="shared" si="351"/>
        <v>0</v>
      </c>
      <c r="J354" s="93">
        <f t="shared" si="352"/>
        <v>1</v>
      </c>
      <c r="K354" s="94">
        <v>0</v>
      </c>
      <c r="L354" s="95">
        <f t="shared" si="353"/>
        <v>0</v>
      </c>
      <c r="M354" s="96">
        <f t="shared" si="354"/>
        <v>75</v>
      </c>
      <c r="N354" s="97">
        <v>0.890625</v>
      </c>
      <c r="O354" s="97">
        <f t="shared" si="355"/>
        <v>0.890625</v>
      </c>
      <c r="P354" s="95">
        <f t="shared" si="356"/>
        <v>66.796875</v>
      </c>
      <c r="Q354" s="98">
        <f t="shared" si="357"/>
        <v>66.796875</v>
      </c>
      <c r="R354" s="99"/>
    </row>
    <row r="355" spans="1:18" ht="27.6" x14ac:dyDescent="0.3">
      <c r="A355" s="86" t="str">
        <f>IF(TRIM(H355)&lt;&gt;"",COUNTA(H$9:$H355)&amp;"","")</f>
        <v>226</v>
      </c>
      <c r="B355" s="87" t="s">
        <v>354</v>
      </c>
      <c r="C355" s="87"/>
      <c r="D355" s="87" t="s">
        <v>377</v>
      </c>
      <c r="E355" s="100" t="s">
        <v>376</v>
      </c>
      <c r="F355" s="90">
        <v>1</v>
      </c>
      <c r="H355" s="91" t="s">
        <v>239</v>
      </c>
      <c r="I355" s="92">
        <f t="shared" ref="I355" si="358">IF(F355=0,"",0)</f>
        <v>0</v>
      </c>
      <c r="J355" s="93">
        <f t="shared" ref="J355" si="359">IF(F355=0,"",F355+(F355*I355))</f>
        <v>1</v>
      </c>
      <c r="K355" s="94">
        <v>0</v>
      </c>
      <c r="L355" s="95">
        <f t="shared" ref="L355" si="360">IF(F355=0,"",K355*J355)</f>
        <v>0</v>
      </c>
      <c r="M355" s="96">
        <f t="shared" ref="M355" si="361">IF(F355=0,"",M$7)</f>
        <v>75</v>
      </c>
      <c r="N355" s="97">
        <v>20.25</v>
      </c>
      <c r="O355" s="97">
        <f t="shared" ref="O355" si="362">IF(F355=0,"",N355*J355)</f>
        <v>20.25</v>
      </c>
      <c r="P355" s="95">
        <f t="shared" ref="P355" si="363">IF(F355=0,"",O355*M355)</f>
        <v>1518.75</v>
      </c>
      <c r="Q355" s="98">
        <f t="shared" ref="Q355" si="364">IF(F355=0,"",L355+P355)</f>
        <v>1518.75</v>
      </c>
      <c r="R355" s="99"/>
    </row>
    <row r="356" spans="1:18" ht="27.6" x14ac:dyDescent="0.3">
      <c r="A356" s="86" t="str">
        <f>IF(TRIM(H356)&lt;&gt;"",COUNTA(H$9:$H356)&amp;"","")</f>
        <v>227</v>
      </c>
      <c r="B356" s="87" t="s">
        <v>354</v>
      </c>
      <c r="C356" s="87"/>
      <c r="D356" s="87" t="s">
        <v>413</v>
      </c>
      <c r="E356" s="100" t="s">
        <v>414</v>
      </c>
      <c r="F356" s="90">
        <v>20</v>
      </c>
      <c r="H356" s="91" t="s">
        <v>210</v>
      </c>
      <c r="I356" s="92">
        <f t="shared" si="351"/>
        <v>0</v>
      </c>
      <c r="J356" s="93">
        <f t="shared" si="352"/>
        <v>20</v>
      </c>
      <c r="K356" s="94">
        <v>0</v>
      </c>
      <c r="L356" s="95">
        <f t="shared" si="353"/>
        <v>0</v>
      </c>
      <c r="M356" s="96">
        <f t="shared" si="354"/>
        <v>75</v>
      </c>
      <c r="N356" s="97">
        <v>1.875</v>
      </c>
      <c r="O356" s="97">
        <f t="shared" si="355"/>
        <v>37.5</v>
      </c>
      <c r="P356" s="95">
        <f t="shared" si="356"/>
        <v>2812.5</v>
      </c>
      <c r="Q356" s="98">
        <f t="shared" si="357"/>
        <v>2812.5</v>
      </c>
      <c r="R356" s="99"/>
    </row>
    <row r="357" spans="1:18" x14ac:dyDescent="0.3">
      <c r="A357" s="86" t="str">
        <f>IF(TRIM(H357)&lt;&gt;"",COUNTA(H$9:$H357)&amp;"","")</f>
        <v>228</v>
      </c>
      <c r="B357" s="87" t="s">
        <v>394</v>
      </c>
      <c r="C357" s="87"/>
      <c r="D357" s="87" t="s">
        <v>387</v>
      </c>
      <c r="E357" s="100" t="s">
        <v>393</v>
      </c>
      <c r="F357" s="90">
        <v>4</v>
      </c>
      <c r="H357" s="91" t="s">
        <v>210</v>
      </c>
      <c r="I357" s="92">
        <f>IF(F357=0,"",0)</f>
        <v>0</v>
      </c>
      <c r="J357" s="93">
        <f>IF(F357=0,"",F357+(F357*I357))</f>
        <v>4</v>
      </c>
      <c r="K357" s="94">
        <v>143.5</v>
      </c>
      <c r="L357" s="95">
        <f>IF(F357=0,"",K357*J357)</f>
        <v>574</v>
      </c>
      <c r="M357" s="96">
        <f>IF(F357=0,"",M$7)</f>
        <v>75</v>
      </c>
      <c r="N357" s="97">
        <v>1.5375000000000001</v>
      </c>
      <c r="O357" s="97">
        <f>IF(F357=0,"",N357*J357)</f>
        <v>6.15</v>
      </c>
      <c r="P357" s="95">
        <f>IF(F357=0,"",O357*M357)</f>
        <v>461.25</v>
      </c>
      <c r="Q357" s="98">
        <f>IF(F357=0,"",L357+P357)</f>
        <v>1035.25</v>
      </c>
      <c r="R357" s="99"/>
    </row>
    <row r="358" spans="1:18" x14ac:dyDescent="0.3">
      <c r="A358" s="86" t="str">
        <f>IF(TRIM(H358)&lt;&gt;"",COUNTA(H$9:$H358)&amp;"","")</f>
        <v>229</v>
      </c>
      <c r="B358" s="87" t="s">
        <v>409</v>
      </c>
      <c r="C358" s="87"/>
      <c r="D358" s="88"/>
      <c r="E358" s="100" t="s">
        <v>408</v>
      </c>
      <c r="F358" s="90">
        <v>3</v>
      </c>
      <c r="H358" s="91" t="s">
        <v>210</v>
      </c>
      <c r="I358" s="92">
        <f>IF(F358=0,"",0)</f>
        <v>0</v>
      </c>
      <c r="J358" s="93">
        <f>IF(F358=0,"",F358+(F358*I358))</f>
        <v>3</v>
      </c>
      <c r="K358" s="94">
        <v>84</v>
      </c>
      <c r="L358" s="95">
        <f>IF(F358=0,"",K358*J358)</f>
        <v>252</v>
      </c>
      <c r="M358" s="96">
        <f>IF(F358=0,"",M$7)</f>
        <v>75</v>
      </c>
      <c r="N358" s="97">
        <v>0.9</v>
      </c>
      <c r="O358" s="97">
        <f>IF(F358=0,"",N358*J358)</f>
        <v>2.7</v>
      </c>
      <c r="P358" s="95">
        <f>IF(F358=0,"",O358*M358)</f>
        <v>202.5</v>
      </c>
      <c r="Q358" s="98">
        <f>IF(F358=0,"",L358+P358)</f>
        <v>454.5</v>
      </c>
      <c r="R358" s="99"/>
    </row>
    <row r="359" spans="1:18" x14ac:dyDescent="0.3">
      <c r="A359" s="86" t="str">
        <f>IF(TRIM(H359)&lt;&gt;"",COUNTA(H$9:$H359)&amp;"","")</f>
        <v>230</v>
      </c>
      <c r="B359" s="87" t="s">
        <v>354</v>
      </c>
      <c r="C359" s="87" t="s">
        <v>416</v>
      </c>
      <c r="D359" s="88"/>
      <c r="E359" s="100" t="s">
        <v>415</v>
      </c>
      <c r="F359" s="90">
        <v>8</v>
      </c>
      <c r="H359" s="91" t="s">
        <v>210</v>
      </c>
      <c r="I359" s="92">
        <f t="shared" si="351"/>
        <v>0</v>
      </c>
      <c r="J359" s="93">
        <f t="shared" si="352"/>
        <v>8</v>
      </c>
      <c r="K359" s="94">
        <v>0</v>
      </c>
      <c r="L359" s="95">
        <f t="shared" si="353"/>
        <v>0</v>
      </c>
      <c r="M359" s="96">
        <f t="shared" si="354"/>
        <v>75</v>
      </c>
      <c r="N359" s="97">
        <v>1.0874999999999999</v>
      </c>
      <c r="O359" s="97">
        <f t="shared" si="355"/>
        <v>8.6999999999999993</v>
      </c>
      <c r="P359" s="95">
        <f t="shared" si="356"/>
        <v>652.5</v>
      </c>
      <c r="Q359" s="98">
        <f t="shared" si="357"/>
        <v>652.5</v>
      </c>
      <c r="R359" s="99"/>
    </row>
    <row r="360" spans="1:18" x14ac:dyDescent="0.3">
      <c r="A360" s="86" t="str">
        <f>IF(TRIM(H360)&lt;&gt;"",COUNTA(H$9:$H360)&amp;"","")</f>
        <v>231</v>
      </c>
      <c r="B360" s="87" t="s">
        <v>354</v>
      </c>
      <c r="C360" s="87" t="s">
        <v>416</v>
      </c>
      <c r="D360" s="88"/>
      <c r="E360" s="100" t="s">
        <v>417</v>
      </c>
      <c r="F360" s="90">
        <v>32</v>
      </c>
      <c r="G360" s="65">
        <f>8*4</f>
        <v>32</v>
      </c>
      <c r="H360" s="91" t="s">
        <v>210</v>
      </c>
      <c r="I360" s="92">
        <f t="shared" si="351"/>
        <v>0</v>
      </c>
      <c r="J360" s="93">
        <f t="shared" si="352"/>
        <v>32</v>
      </c>
      <c r="K360" s="94">
        <v>0</v>
      </c>
      <c r="L360" s="95">
        <f t="shared" si="353"/>
        <v>0</v>
      </c>
      <c r="M360" s="96">
        <f t="shared" si="354"/>
        <v>75</v>
      </c>
      <c r="N360" s="97">
        <v>0.97499999999999998</v>
      </c>
      <c r="O360" s="97">
        <f t="shared" si="355"/>
        <v>31.2</v>
      </c>
      <c r="P360" s="95">
        <f t="shared" si="356"/>
        <v>2340</v>
      </c>
      <c r="Q360" s="98">
        <f t="shared" si="357"/>
        <v>2340</v>
      </c>
      <c r="R360" s="99"/>
    </row>
    <row r="361" spans="1:18" x14ac:dyDescent="0.3">
      <c r="A361" s="86" t="str">
        <f>IF(TRIM(H361)&lt;&gt;"",COUNTA(H$9:$H361)&amp;"","")</f>
        <v>232</v>
      </c>
      <c r="B361" s="87" t="s">
        <v>354</v>
      </c>
      <c r="C361" s="87" t="s">
        <v>416</v>
      </c>
      <c r="D361" s="88"/>
      <c r="E361" s="100" t="s">
        <v>418</v>
      </c>
      <c r="F361" s="90">
        <v>100</v>
      </c>
      <c r="G361" s="65">
        <f>17*5.83</f>
        <v>99.11</v>
      </c>
      <c r="H361" s="91" t="s">
        <v>184</v>
      </c>
      <c r="I361" s="92">
        <f t="shared" ref="I361" si="365">IF(F361=0,"",0)</f>
        <v>0</v>
      </c>
      <c r="J361" s="93">
        <f t="shared" ref="J361" si="366">IF(F361=0,"",F361+(F361*I361))</f>
        <v>100</v>
      </c>
      <c r="K361" s="94">
        <v>0</v>
      </c>
      <c r="L361" s="95">
        <f t="shared" ref="L361" si="367">IF(F361=0,"",K361*J361)</f>
        <v>0</v>
      </c>
      <c r="M361" s="96">
        <f t="shared" ref="M361" si="368">IF(F361=0,"",M$7)</f>
        <v>75</v>
      </c>
      <c r="N361" s="97">
        <v>0.375</v>
      </c>
      <c r="O361" s="97">
        <f t="shared" ref="O361" si="369">IF(F361=0,"",N361*J361)</f>
        <v>37.5</v>
      </c>
      <c r="P361" s="95">
        <f t="shared" ref="P361" si="370">IF(F361=0,"",O361*M361)</f>
        <v>2812.5</v>
      </c>
      <c r="Q361" s="98">
        <f t="shared" ref="Q361" si="371">IF(F361=0,"",L361+P361)</f>
        <v>2812.5</v>
      </c>
      <c r="R361" s="99"/>
    </row>
    <row r="362" spans="1:18" s="116" customFormat="1" ht="19.2" customHeight="1" x14ac:dyDescent="0.3">
      <c r="A362" s="86" t="str">
        <f>IF(TRIM(H362)&lt;&gt;"",COUNTA(H$9:$H362)&amp;"","")</f>
        <v/>
      </c>
      <c r="B362" s="115"/>
      <c r="C362" s="115"/>
      <c r="D362" s="88" t="s">
        <v>141</v>
      </c>
      <c r="E362" s="164" t="s">
        <v>140</v>
      </c>
      <c r="F362" s="90"/>
      <c r="H362" s="91"/>
      <c r="I362" s="92" t="str">
        <f t="shared" si="351"/>
        <v/>
      </c>
      <c r="J362" s="93" t="str">
        <f t="shared" si="352"/>
        <v/>
      </c>
      <c r="K362" s="94" t="s">
        <v>549</v>
      </c>
      <c r="L362" s="95" t="str">
        <f t="shared" si="353"/>
        <v/>
      </c>
      <c r="M362" s="96" t="str">
        <f t="shared" si="354"/>
        <v/>
      </c>
      <c r="N362" s="97" t="s">
        <v>549</v>
      </c>
      <c r="O362" s="97" t="str">
        <f t="shared" si="355"/>
        <v/>
      </c>
      <c r="P362" s="95" t="str">
        <f t="shared" si="356"/>
        <v/>
      </c>
      <c r="Q362" s="98" t="str">
        <f t="shared" si="357"/>
        <v/>
      </c>
      <c r="R362" s="99"/>
    </row>
    <row r="363" spans="1:18" x14ac:dyDescent="0.3">
      <c r="A363" s="86" t="str">
        <f>IF(TRIM(H363)&lt;&gt;"",COUNTA(H$9:$H363)&amp;"","")</f>
        <v>233</v>
      </c>
      <c r="B363" s="87" t="s">
        <v>354</v>
      </c>
      <c r="C363" s="87" t="s">
        <v>392</v>
      </c>
      <c r="D363" s="87" t="s">
        <v>387</v>
      </c>
      <c r="E363" s="100" t="s">
        <v>388</v>
      </c>
      <c r="F363" s="90">
        <v>6</v>
      </c>
      <c r="H363" s="91" t="s">
        <v>210</v>
      </c>
      <c r="I363" s="92">
        <f t="shared" si="351"/>
        <v>0</v>
      </c>
      <c r="J363" s="93">
        <f t="shared" si="352"/>
        <v>6</v>
      </c>
      <c r="K363" s="94">
        <v>0</v>
      </c>
      <c r="L363" s="95">
        <f t="shared" si="353"/>
        <v>0</v>
      </c>
      <c r="M363" s="96">
        <f t="shared" si="354"/>
        <v>75</v>
      </c>
      <c r="N363" s="97">
        <v>0.8</v>
      </c>
      <c r="O363" s="97">
        <f t="shared" si="355"/>
        <v>4.8000000000000007</v>
      </c>
      <c r="P363" s="95">
        <f t="shared" si="356"/>
        <v>360.00000000000006</v>
      </c>
      <c r="Q363" s="98">
        <f t="shared" si="357"/>
        <v>360.00000000000006</v>
      </c>
      <c r="R363" s="99"/>
    </row>
    <row r="364" spans="1:18" x14ac:dyDescent="0.3">
      <c r="A364" s="86" t="str">
        <f>IF(TRIM(H364)&lt;&gt;"",COUNTA(H$9:$H364)&amp;"","")</f>
        <v>234</v>
      </c>
      <c r="B364" s="87" t="s">
        <v>354</v>
      </c>
      <c r="C364" s="87" t="s">
        <v>392</v>
      </c>
      <c r="D364" s="87" t="s">
        <v>391</v>
      </c>
      <c r="E364" s="100" t="s">
        <v>390</v>
      </c>
      <c r="F364" s="90">
        <v>10</v>
      </c>
      <c r="H364" s="91" t="s">
        <v>210</v>
      </c>
      <c r="I364" s="92">
        <f t="shared" si="351"/>
        <v>0</v>
      </c>
      <c r="J364" s="93">
        <f t="shared" si="352"/>
        <v>10</v>
      </c>
      <c r="K364" s="94">
        <v>0</v>
      </c>
      <c r="L364" s="95">
        <f t="shared" si="353"/>
        <v>0</v>
      </c>
      <c r="M364" s="96">
        <f t="shared" si="354"/>
        <v>75</v>
      </c>
      <c r="N364" s="97">
        <v>1</v>
      </c>
      <c r="O364" s="97">
        <f t="shared" si="355"/>
        <v>10</v>
      </c>
      <c r="P364" s="95">
        <f t="shared" si="356"/>
        <v>750</v>
      </c>
      <c r="Q364" s="98">
        <f t="shared" si="357"/>
        <v>750</v>
      </c>
      <c r="R364" s="99"/>
    </row>
    <row r="365" spans="1:18" x14ac:dyDescent="0.3">
      <c r="A365" s="86" t="str">
        <f>IF(TRIM(H365)&lt;&gt;"",COUNTA(H$9:$H365)&amp;"","")</f>
        <v>235</v>
      </c>
      <c r="B365" s="87" t="s">
        <v>354</v>
      </c>
      <c r="C365" s="87"/>
      <c r="D365" s="88"/>
      <c r="E365" s="100" t="s">
        <v>389</v>
      </c>
      <c r="F365" s="90">
        <v>21</v>
      </c>
      <c r="H365" s="91" t="s">
        <v>210</v>
      </c>
      <c r="I365" s="92">
        <f t="shared" si="351"/>
        <v>0</v>
      </c>
      <c r="J365" s="93">
        <f t="shared" si="352"/>
        <v>21</v>
      </c>
      <c r="K365" s="94">
        <v>0</v>
      </c>
      <c r="L365" s="95">
        <f t="shared" si="353"/>
        <v>0</v>
      </c>
      <c r="M365" s="96">
        <f t="shared" si="354"/>
        <v>75</v>
      </c>
      <c r="N365" s="97">
        <v>8.5000000000000006E-2</v>
      </c>
      <c r="O365" s="97">
        <f t="shared" si="355"/>
        <v>1.7850000000000001</v>
      </c>
      <c r="P365" s="95">
        <f t="shared" si="356"/>
        <v>133.875</v>
      </c>
      <c r="Q365" s="98">
        <f t="shared" si="357"/>
        <v>133.875</v>
      </c>
      <c r="R365" s="99"/>
    </row>
    <row r="366" spans="1:18" s="116" customFormat="1" ht="19.2" customHeight="1" x14ac:dyDescent="0.3">
      <c r="A366" s="86" t="str">
        <f>IF(TRIM(H366)&lt;&gt;"",COUNTA(H$9:$H366)&amp;"","")</f>
        <v/>
      </c>
      <c r="B366" s="115"/>
      <c r="C366" s="115"/>
      <c r="D366" s="88" t="s">
        <v>143</v>
      </c>
      <c r="E366" s="164" t="s">
        <v>142</v>
      </c>
      <c r="F366" s="90"/>
      <c r="H366" s="91"/>
      <c r="I366" s="92" t="str">
        <f t="shared" si="351"/>
        <v/>
      </c>
      <c r="J366" s="93" t="str">
        <f t="shared" si="352"/>
        <v/>
      </c>
      <c r="K366" s="94" t="s">
        <v>549</v>
      </c>
      <c r="L366" s="95" t="str">
        <f t="shared" si="353"/>
        <v/>
      </c>
      <c r="M366" s="96" t="str">
        <f t="shared" si="354"/>
        <v/>
      </c>
      <c r="N366" s="97" t="s">
        <v>549</v>
      </c>
      <c r="O366" s="97" t="str">
        <f t="shared" si="355"/>
        <v/>
      </c>
      <c r="P366" s="95" t="str">
        <f t="shared" si="356"/>
        <v/>
      </c>
      <c r="Q366" s="98" t="str">
        <f t="shared" si="357"/>
        <v/>
      </c>
      <c r="R366" s="99"/>
    </row>
    <row r="367" spans="1:18" ht="27.6" x14ac:dyDescent="0.3">
      <c r="A367" s="86" t="str">
        <f>IF(TRIM(H367)&lt;&gt;"",COUNTA(H$9:$H367)&amp;"","")</f>
        <v>236</v>
      </c>
      <c r="B367" s="87" t="s">
        <v>354</v>
      </c>
      <c r="C367" s="87"/>
      <c r="D367" s="87" t="s">
        <v>420</v>
      </c>
      <c r="E367" s="100" t="s">
        <v>419</v>
      </c>
      <c r="F367" s="90">
        <v>50</v>
      </c>
      <c r="H367" s="91" t="s">
        <v>239</v>
      </c>
      <c r="I367" s="92">
        <f t="shared" si="351"/>
        <v>0</v>
      </c>
      <c r="J367" s="93">
        <f t="shared" si="352"/>
        <v>50</v>
      </c>
      <c r="K367" s="94">
        <v>0</v>
      </c>
      <c r="L367" s="95">
        <f t="shared" si="353"/>
        <v>0</v>
      </c>
      <c r="M367" s="96">
        <f t="shared" si="354"/>
        <v>75</v>
      </c>
      <c r="N367" s="97">
        <v>0.5625</v>
      </c>
      <c r="O367" s="97">
        <f t="shared" si="355"/>
        <v>28.125</v>
      </c>
      <c r="P367" s="95">
        <f t="shared" si="356"/>
        <v>2109.375</v>
      </c>
      <c r="Q367" s="98">
        <f t="shared" si="357"/>
        <v>2109.375</v>
      </c>
      <c r="R367" s="99"/>
    </row>
    <row r="368" spans="1:18" ht="15" thickBot="1" x14ac:dyDescent="0.35">
      <c r="A368" s="86" t="str">
        <f>IF(TRIM(H368)&lt;&gt;"",COUNTA(H$9:$H368)&amp;"","")</f>
        <v/>
      </c>
      <c r="B368" s="101"/>
      <c r="C368" s="101"/>
      <c r="D368" s="88"/>
      <c r="E368" s="102"/>
      <c r="F368" s="90"/>
      <c r="H368" s="91"/>
      <c r="I368" s="92" t="str">
        <f t="shared" si="351"/>
        <v/>
      </c>
      <c r="J368" s="93" t="str">
        <f t="shared" si="352"/>
        <v/>
      </c>
      <c r="K368" s="94" t="str">
        <f t="shared" ref="K368" si="372">IF(F368=0,"",0)</f>
        <v/>
      </c>
      <c r="L368" s="95" t="str">
        <f t="shared" si="353"/>
        <v/>
      </c>
      <c r="M368" s="96" t="str">
        <f t="shared" si="354"/>
        <v/>
      </c>
      <c r="N368" s="97" t="str">
        <f t="shared" ref="N368" si="373">IF(F368=0,"",0)</f>
        <v/>
      </c>
      <c r="O368" s="97" t="str">
        <f t="shared" si="355"/>
        <v/>
      </c>
      <c r="P368" s="95" t="str">
        <f t="shared" si="356"/>
        <v/>
      </c>
      <c r="Q368" s="98" t="str">
        <f t="shared" si="357"/>
        <v/>
      </c>
      <c r="R368" s="99"/>
    </row>
    <row r="369" spans="1:18" s="114" customFormat="1" ht="16.2" thickBot="1" x14ac:dyDescent="0.35">
      <c r="A369" s="86" t="str">
        <f>IF(TRIM(H369)&lt;&gt;"",COUNTA(H$9:$H369)&amp;"","")</f>
        <v/>
      </c>
      <c r="B369" s="121"/>
      <c r="C369" s="121"/>
      <c r="D369" s="122"/>
      <c r="E369" s="105"/>
      <c r="F369" s="90"/>
      <c r="H369" s="123"/>
      <c r="I369" s="108" t="s">
        <v>12</v>
      </c>
      <c r="J369" s="109"/>
      <c r="K369" s="110">
        <f>SUM(L$347:L$368)</f>
        <v>2226</v>
      </c>
      <c r="L369" s="190" t="s">
        <v>13</v>
      </c>
      <c r="M369" s="191"/>
      <c r="N369" s="111">
        <f>SUM(P$347:P$368)</f>
        <v>16596.609375</v>
      </c>
      <c r="O369" s="190" t="s">
        <v>42</v>
      </c>
      <c r="P369" s="191"/>
      <c r="Q369" s="112">
        <f>SUM(O$347:O$368)</f>
        <v>221.28812500000001</v>
      </c>
      <c r="R369" s="113">
        <f>SUM(Q$347:Q$368)</f>
        <v>18822.609375</v>
      </c>
    </row>
    <row r="370" spans="1:18" s="171" customFormat="1" ht="20.100000000000001" customHeight="1" x14ac:dyDescent="0.3">
      <c r="A370" s="167" t="str">
        <f>IF(TRIM(H370)&lt;&gt;"",COUNTA(H$9:$H370)&amp;"","")</f>
        <v/>
      </c>
      <c r="B370" s="168"/>
      <c r="C370" s="168"/>
      <c r="D370" s="169">
        <v>210000</v>
      </c>
      <c r="E370" s="169" t="s">
        <v>173</v>
      </c>
      <c r="F370" s="170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72"/>
    </row>
    <row r="371" spans="1:18" ht="15.6" x14ac:dyDescent="0.3">
      <c r="A371" s="86" t="str">
        <f>IF(TRIM(H371)&lt;&gt;"",COUNTA(H$9:$H371)&amp;"","")</f>
        <v/>
      </c>
      <c r="B371" s="87"/>
      <c r="C371" s="87"/>
      <c r="D371" s="88"/>
      <c r="E371" s="164" t="s">
        <v>199</v>
      </c>
      <c r="F371" s="90"/>
      <c r="H371" s="91"/>
      <c r="I371" s="92" t="str">
        <f t="shared" ref="I371" si="374">IF(F371=0,"",0)</f>
        <v/>
      </c>
      <c r="J371" s="93" t="str">
        <f t="shared" ref="J371:J386" si="375">IF(F371=0,"",F371+(F371*I371))</f>
        <v/>
      </c>
      <c r="K371" s="94" t="str">
        <f t="shared" ref="K371" si="376">IF(F371=0,"",0)</f>
        <v/>
      </c>
      <c r="L371" s="95" t="str">
        <f t="shared" ref="L371:L386" si="377">IF(F371=0,"",K371*J371)</f>
        <v/>
      </c>
      <c r="M371" s="96" t="str">
        <f t="shared" ref="M371:M386" si="378">IF(F371=0,"",M$7)</f>
        <v/>
      </c>
      <c r="N371" s="97" t="str">
        <f t="shared" ref="N371" si="379">IF(F371=0,"",0)</f>
        <v/>
      </c>
      <c r="O371" s="97" t="str">
        <f t="shared" ref="O371:O386" si="380">IF(F371=0,"",N371*J371)</f>
        <v/>
      </c>
      <c r="P371" s="95" t="str">
        <f t="shared" ref="P371:P386" si="381">IF(F371=0,"",O371*M371)</f>
        <v/>
      </c>
      <c r="Q371" s="98" t="str">
        <f t="shared" ref="Q371:Q386" si="382">IF(F371=0,"",L371+P371)</f>
        <v/>
      </c>
      <c r="R371" s="119"/>
    </row>
    <row r="372" spans="1:18" x14ac:dyDescent="0.3">
      <c r="A372" s="86" t="str">
        <f>IF(TRIM(H372)&lt;&gt;"",COUNTA(H$9:$H372)&amp;"","")</f>
        <v>237</v>
      </c>
      <c r="B372" s="87" t="s">
        <v>522</v>
      </c>
      <c r="C372" s="87" t="s">
        <v>522</v>
      </c>
      <c r="D372" s="88"/>
      <c r="E372" s="89" t="s">
        <v>523</v>
      </c>
      <c r="F372" s="90">
        <v>97.31</v>
      </c>
      <c r="H372" s="91" t="s">
        <v>210</v>
      </c>
      <c r="I372" s="92">
        <v>0.1</v>
      </c>
      <c r="J372" s="93">
        <f t="shared" si="375"/>
        <v>107.041</v>
      </c>
      <c r="K372" s="94">
        <v>12</v>
      </c>
      <c r="L372" s="95">
        <f t="shared" si="377"/>
        <v>1284.492</v>
      </c>
      <c r="M372" s="96">
        <f t="shared" si="378"/>
        <v>75</v>
      </c>
      <c r="N372" s="97">
        <v>0.2</v>
      </c>
      <c r="O372" s="97">
        <f t="shared" si="380"/>
        <v>21.408200000000001</v>
      </c>
      <c r="P372" s="95">
        <f t="shared" si="381"/>
        <v>1605.615</v>
      </c>
      <c r="Q372" s="98">
        <f t="shared" si="382"/>
        <v>2890.107</v>
      </c>
      <c r="R372" s="119"/>
    </row>
    <row r="373" spans="1:18" x14ac:dyDescent="0.3">
      <c r="A373" s="86" t="str">
        <f>IF(TRIM(H373)&lt;&gt;"",COUNTA(H$9:$H373)&amp;"","")</f>
        <v>238</v>
      </c>
      <c r="B373" s="87" t="s">
        <v>522</v>
      </c>
      <c r="C373" s="87" t="s">
        <v>522</v>
      </c>
      <c r="D373" s="88"/>
      <c r="E373" s="89" t="s">
        <v>524</v>
      </c>
      <c r="F373" s="90">
        <v>423.59</v>
      </c>
      <c r="H373" s="91" t="s">
        <v>210</v>
      </c>
      <c r="I373" s="92">
        <v>0.1</v>
      </c>
      <c r="J373" s="93">
        <f t="shared" si="375"/>
        <v>465.94899999999996</v>
      </c>
      <c r="K373" s="94">
        <v>13.2</v>
      </c>
      <c r="L373" s="95">
        <f t="shared" si="377"/>
        <v>6150.5267999999987</v>
      </c>
      <c r="M373" s="96">
        <f t="shared" si="378"/>
        <v>75</v>
      </c>
      <c r="N373" s="97">
        <v>0.22000000000000003</v>
      </c>
      <c r="O373" s="97">
        <f t="shared" si="380"/>
        <v>102.50878</v>
      </c>
      <c r="P373" s="95">
        <f t="shared" si="381"/>
        <v>7688.1585000000005</v>
      </c>
      <c r="Q373" s="98">
        <f t="shared" si="382"/>
        <v>13838.685299999999</v>
      </c>
      <c r="R373" s="119"/>
    </row>
    <row r="374" spans="1:18" x14ac:dyDescent="0.3">
      <c r="A374" s="86" t="str">
        <f>IF(TRIM(H374)&lt;&gt;"",COUNTA(H$9:$H374)&amp;"","")</f>
        <v>239</v>
      </c>
      <c r="B374" s="87" t="s">
        <v>522</v>
      </c>
      <c r="C374" s="87" t="s">
        <v>522</v>
      </c>
      <c r="D374" s="88"/>
      <c r="E374" s="89" t="s">
        <v>525</v>
      </c>
      <c r="F374" s="90">
        <v>2.91</v>
      </c>
      <c r="H374" s="91" t="s">
        <v>210</v>
      </c>
      <c r="I374" s="92">
        <v>0.1</v>
      </c>
      <c r="J374" s="93">
        <f t="shared" si="375"/>
        <v>3.2010000000000001</v>
      </c>
      <c r="K374" s="94">
        <v>12.6</v>
      </c>
      <c r="L374" s="95">
        <f t="shared" si="377"/>
        <v>40.332599999999999</v>
      </c>
      <c r="M374" s="96">
        <f t="shared" si="378"/>
        <v>75</v>
      </c>
      <c r="N374" s="97">
        <v>0.21000000000000002</v>
      </c>
      <c r="O374" s="97">
        <f t="shared" si="380"/>
        <v>0.67221000000000009</v>
      </c>
      <c r="P374" s="95">
        <f t="shared" si="381"/>
        <v>50.41575000000001</v>
      </c>
      <c r="Q374" s="98">
        <f t="shared" si="382"/>
        <v>90.748350000000016</v>
      </c>
      <c r="R374" s="119"/>
    </row>
    <row r="375" spans="1:18" x14ac:dyDescent="0.3">
      <c r="A375" s="86" t="str">
        <f>IF(TRIM(H375)&lt;&gt;"",COUNTA(H$9:$H375)&amp;"","")</f>
        <v>240</v>
      </c>
      <c r="B375" s="87" t="s">
        <v>522</v>
      </c>
      <c r="C375" s="87" t="s">
        <v>522</v>
      </c>
      <c r="D375" s="88"/>
      <c r="E375" s="89" t="s">
        <v>526</v>
      </c>
      <c r="F375" s="90">
        <v>84.76</v>
      </c>
      <c r="H375" s="91" t="s">
        <v>210</v>
      </c>
      <c r="I375" s="92">
        <v>0.1</v>
      </c>
      <c r="J375" s="93">
        <f t="shared" si="375"/>
        <v>93.236000000000004</v>
      </c>
      <c r="K375" s="94">
        <v>16.799999999999997</v>
      </c>
      <c r="L375" s="95">
        <f t="shared" si="377"/>
        <v>1566.3647999999998</v>
      </c>
      <c r="M375" s="96">
        <f t="shared" si="378"/>
        <v>75</v>
      </c>
      <c r="N375" s="97">
        <v>0.28000000000000003</v>
      </c>
      <c r="O375" s="97">
        <f t="shared" si="380"/>
        <v>26.106080000000002</v>
      </c>
      <c r="P375" s="95">
        <f t="shared" si="381"/>
        <v>1957.9560000000001</v>
      </c>
      <c r="Q375" s="98">
        <f t="shared" si="382"/>
        <v>3524.3208</v>
      </c>
      <c r="R375" s="119"/>
    </row>
    <row r="376" spans="1:18" x14ac:dyDescent="0.3">
      <c r="A376" s="86" t="str">
        <f>IF(TRIM(H376)&lt;&gt;"",COUNTA(H$9:$H376)&amp;"","")</f>
        <v>241</v>
      </c>
      <c r="B376" s="87" t="s">
        <v>522</v>
      </c>
      <c r="C376" s="87" t="s">
        <v>522</v>
      </c>
      <c r="D376" s="88"/>
      <c r="E376" s="89" t="s">
        <v>527</v>
      </c>
      <c r="F376" s="90">
        <v>26.22</v>
      </c>
      <c r="H376" s="91" t="s">
        <v>210</v>
      </c>
      <c r="I376" s="92">
        <v>0.1</v>
      </c>
      <c r="J376" s="93">
        <f t="shared" si="375"/>
        <v>28.841999999999999</v>
      </c>
      <c r="K376" s="94">
        <v>28.799999999999997</v>
      </c>
      <c r="L376" s="95">
        <f t="shared" si="377"/>
        <v>830.64959999999985</v>
      </c>
      <c r="M376" s="96">
        <f t="shared" si="378"/>
        <v>75</v>
      </c>
      <c r="N376" s="97">
        <v>0.48000000000000009</v>
      </c>
      <c r="O376" s="97">
        <f t="shared" si="380"/>
        <v>13.844160000000002</v>
      </c>
      <c r="P376" s="95">
        <f t="shared" si="381"/>
        <v>1038.3120000000001</v>
      </c>
      <c r="Q376" s="98">
        <f t="shared" si="382"/>
        <v>1868.9616000000001</v>
      </c>
      <c r="R376" s="119"/>
    </row>
    <row r="377" spans="1:18" x14ac:dyDescent="0.3">
      <c r="A377" s="86" t="str">
        <f>IF(TRIM(H377)&lt;&gt;"",COUNTA(H$9:$H377)&amp;"","")</f>
        <v/>
      </c>
      <c r="B377" s="87"/>
      <c r="C377" s="87"/>
      <c r="D377" s="88"/>
      <c r="E377" s="100"/>
      <c r="F377" s="90"/>
      <c r="H377" s="91"/>
      <c r="I377" s="92" t="str">
        <f t="shared" ref="I377:I386" si="383">IF(F377=0,"",0)</f>
        <v/>
      </c>
      <c r="J377" s="93" t="str">
        <f t="shared" si="375"/>
        <v/>
      </c>
      <c r="K377" s="94" t="s">
        <v>549</v>
      </c>
      <c r="L377" s="95" t="str">
        <f t="shared" si="377"/>
        <v/>
      </c>
      <c r="M377" s="96" t="str">
        <f t="shared" si="378"/>
        <v/>
      </c>
      <c r="N377" s="97" t="s">
        <v>549</v>
      </c>
      <c r="O377" s="97" t="str">
        <f t="shared" si="380"/>
        <v/>
      </c>
      <c r="P377" s="95" t="str">
        <f t="shared" si="381"/>
        <v/>
      </c>
      <c r="Q377" s="98" t="str">
        <f t="shared" si="382"/>
        <v/>
      </c>
      <c r="R377" s="119"/>
    </row>
    <row r="378" spans="1:18" ht="15.6" x14ac:dyDescent="0.3">
      <c r="A378" s="86" t="str">
        <f>IF(TRIM(H378)&lt;&gt;"",COUNTA(H$9:$H378)&amp;"","")</f>
        <v/>
      </c>
      <c r="B378" s="87"/>
      <c r="C378" s="87"/>
      <c r="D378" s="88"/>
      <c r="E378" s="164" t="s">
        <v>201</v>
      </c>
      <c r="F378" s="90"/>
      <c r="H378" s="91"/>
      <c r="I378" s="92" t="str">
        <f t="shared" si="383"/>
        <v/>
      </c>
      <c r="J378" s="93" t="str">
        <f t="shared" si="375"/>
        <v/>
      </c>
      <c r="K378" s="94" t="s">
        <v>549</v>
      </c>
      <c r="L378" s="95" t="str">
        <f t="shared" si="377"/>
        <v/>
      </c>
      <c r="M378" s="96" t="str">
        <f t="shared" si="378"/>
        <v/>
      </c>
      <c r="N378" s="97" t="s">
        <v>549</v>
      </c>
      <c r="O378" s="97" t="str">
        <f t="shared" si="380"/>
        <v/>
      </c>
      <c r="P378" s="95" t="str">
        <f t="shared" si="381"/>
        <v/>
      </c>
      <c r="Q378" s="98" t="str">
        <f t="shared" si="382"/>
        <v/>
      </c>
      <c r="R378" s="119"/>
    </row>
    <row r="379" spans="1:18" x14ac:dyDescent="0.3">
      <c r="A379" s="86" t="str">
        <f>IF(TRIM(H379)&lt;&gt;"",COUNTA(H$9:$H379)&amp;"","")</f>
        <v>242</v>
      </c>
      <c r="B379" s="87" t="s">
        <v>522</v>
      </c>
      <c r="C379" s="87" t="s">
        <v>522</v>
      </c>
      <c r="D379" s="88"/>
      <c r="E379" s="100" t="s">
        <v>528</v>
      </c>
      <c r="F379" s="90">
        <v>8</v>
      </c>
      <c r="H379" s="91" t="s">
        <v>239</v>
      </c>
      <c r="I379" s="92">
        <f t="shared" si="383"/>
        <v>0</v>
      </c>
      <c r="J379" s="93">
        <f t="shared" si="375"/>
        <v>8</v>
      </c>
      <c r="K379" s="94">
        <v>160</v>
      </c>
      <c r="L379" s="95">
        <f t="shared" si="377"/>
        <v>1280</v>
      </c>
      <c r="M379" s="96">
        <f t="shared" si="378"/>
        <v>75</v>
      </c>
      <c r="N379" s="97">
        <v>1</v>
      </c>
      <c r="O379" s="97">
        <f t="shared" si="380"/>
        <v>8</v>
      </c>
      <c r="P379" s="95">
        <f t="shared" si="381"/>
        <v>600</v>
      </c>
      <c r="Q379" s="98">
        <f t="shared" si="382"/>
        <v>1880</v>
      </c>
      <c r="R379" s="119"/>
    </row>
    <row r="380" spans="1:18" x14ac:dyDescent="0.3">
      <c r="A380" s="86" t="str">
        <f>IF(TRIM(H380)&lt;&gt;"",COUNTA(H$9:$H380)&amp;"","")</f>
        <v>243</v>
      </c>
      <c r="B380" s="87" t="s">
        <v>522</v>
      </c>
      <c r="C380" s="87" t="s">
        <v>522</v>
      </c>
      <c r="D380" s="88"/>
      <c r="E380" s="100" t="s">
        <v>529</v>
      </c>
      <c r="F380" s="90">
        <v>11</v>
      </c>
      <c r="H380" s="91" t="s">
        <v>239</v>
      </c>
      <c r="I380" s="92">
        <f t="shared" si="383"/>
        <v>0</v>
      </c>
      <c r="J380" s="93">
        <f t="shared" si="375"/>
        <v>11</v>
      </c>
      <c r="K380" s="94">
        <v>148</v>
      </c>
      <c r="L380" s="95">
        <f t="shared" si="377"/>
        <v>1628</v>
      </c>
      <c r="M380" s="96">
        <f t="shared" si="378"/>
        <v>75</v>
      </c>
      <c r="N380" s="97">
        <v>0.92500000000000004</v>
      </c>
      <c r="O380" s="97">
        <f t="shared" si="380"/>
        <v>10.175000000000001</v>
      </c>
      <c r="P380" s="95">
        <f t="shared" si="381"/>
        <v>763.125</v>
      </c>
      <c r="Q380" s="98">
        <f t="shared" si="382"/>
        <v>2391.125</v>
      </c>
      <c r="R380" s="119"/>
    </row>
    <row r="381" spans="1:18" x14ac:dyDescent="0.3">
      <c r="A381" s="86" t="str">
        <f>IF(TRIM(H381)&lt;&gt;"",COUNTA(H$9:$H381)&amp;"","")</f>
        <v>244</v>
      </c>
      <c r="B381" s="87" t="s">
        <v>522</v>
      </c>
      <c r="C381" s="87" t="s">
        <v>522</v>
      </c>
      <c r="D381" s="88"/>
      <c r="E381" s="100" t="s">
        <v>530</v>
      </c>
      <c r="F381" s="90">
        <v>3</v>
      </c>
      <c r="H381" s="91" t="s">
        <v>239</v>
      </c>
      <c r="I381" s="92">
        <f t="shared" si="383"/>
        <v>0</v>
      </c>
      <c r="J381" s="93">
        <f t="shared" si="375"/>
        <v>3</v>
      </c>
      <c r="K381" s="94">
        <v>152</v>
      </c>
      <c r="L381" s="95">
        <f t="shared" si="377"/>
        <v>456</v>
      </c>
      <c r="M381" s="96">
        <f t="shared" si="378"/>
        <v>75</v>
      </c>
      <c r="N381" s="97">
        <v>0.95</v>
      </c>
      <c r="O381" s="97">
        <f t="shared" si="380"/>
        <v>2.8499999999999996</v>
      </c>
      <c r="P381" s="95">
        <f t="shared" si="381"/>
        <v>213.74999999999997</v>
      </c>
      <c r="Q381" s="98">
        <f t="shared" si="382"/>
        <v>669.75</v>
      </c>
      <c r="R381" s="119"/>
    </row>
    <row r="382" spans="1:18" x14ac:dyDescent="0.3">
      <c r="A382" s="86" t="str">
        <f>IF(TRIM(H382)&lt;&gt;"",COUNTA(H$9:$H382)&amp;"","")</f>
        <v>245</v>
      </c>
      <c r="B382" s="87" t="s">
        <v>522</v>
      </c>
      <c r="C382" s="87" t="s">
        <v>522</v>
      </c>
      <c r="D382" s="88"/>
      <c r="E382" s="100" t="s">
        <v>531</v>
      </c>
      <c r="F382" s="90">
        <v>1</v>
      </c>
      <c r="H382" s="91" t="s">
        <v>239</v>
      </c>
      <c r="I382" s="92">
        <f t="shared" si="383"/>
        <v>0</v>
      </c>
      <c r="J382" s="93">
        <f t="shared" si="375"/>
        <v>1</v>
      </c>
      <c r="K382" s="94">
        <v>158.4</v>
      </c>
      <c r="L382" s="95">
        <f t="shared" si="377"/>
        <v>158.4</v>
      </c>
      <c r="M382" s="96">
        <f t="shared" si="378"/>
        <v>75</v>
      </c>
      <c r="N382" s="97">
        <v>0.99</v>
      </c>
      <c r="O382" s="97">
        <f t="shared" si="380"/>
        <v>0.99</v>
      </c>
      <c r="P382" s="95">
        <f t="shared" si="381"/>
        <v>74.25</v>
      </c>
      <c r="Q382" s="98">
        <f t="shared" si="382"/>
        <v>232.65</v>
      </c>
      <c r="R382" s="119"/>
    </row>
    <row r="383" spans="1:18" x14ac:dyDescent="0.3">
      <c r="A383" s="86" t="str">
        <f>IF(TRIM(H383)&lt;&gt;"",COUNTA(H$9:$H383)&amp;"","")</f>
        <v>246</v>
      </c>
      <c r="B383" s="87" t="s">
        <v>522</v>
      </c>
      <c r="C383" s="87" t="s">
        <v>522</v>
      </c>
      <c r="D383" s="88"/>
      <c r="E383" s="100" t="s">
        <v>531</v>
      </c>
      <c r="F383" s="90">
        <v>43</v>
      </c>
      <c r="H383" s="91" t="s">
        <v>239</v>
      </c>
      <c r="I383" s="92">
        <f t="shared" si="383"/>
        <v>0</v>
      </c>
      <c r="J383" s="93">
        <f t="shared" si="375"/>
        <v>43</v>
      </c>
      <c r="K383" s="94">
        <v>158.4</v>
      </c>
      <c r="L383" s="95">
        <f t="shared" si="377"/>
        <v>6811.2</v>
      </c>
      <c r="M383" s="96">
        <f t="shared" si="378"/>
        <v>75</v>
      </c>
      <c r="N383" s="97">
        <v>0.99</v>
      </c>
      <c r="O383" s="97">
        <f t="shared" si="380"/>
        <v>42.57</v>
      </c>
      <c r="P383" s="95">
        <f t="shared" si="381"/>
        <v>3192.75</v>
      </c>
      <c r="Q383" s="98">
        <f t="shared" si="382"/>
        <v>10003.950000000001</v>
      </c>
      <c r="R383" s="119"/>
    </row>
    <row r="384" spans="1:18" x14ac:dyDescent="0.3">
      <c r="A384" s="86" t="str">
        <f>IF(TRIM(H384)&lt;&gt;"",COUNTA(H$9:$H384)&amp;"","")</f>
        <v>247</v>
      </c>
      <c r="B384" s="87" t="s">
        <v>522</v>
      </c>
      <c r="C384" s="87" t="s">
        <v>522</v>
      </c>
      <c r="D384" s="88"/>
      <c r="E384" s="100" t="s">
        <v>532</v>
      </c>
      <c r="F384" s="90">
        <v>10</v>
      </c>
      <c r="H384" s="91" t="s">
        <v>239</v>
      </c>
      <c r="I384" s="92">
        <f t="shared" si="383"/>
        <v>0</v>
      </c>
      <c r="J384" s="93">
        <f t="shared" si="375"/>
        <v>10</v>
      </c>
      <c r="K384" s="94">
        <v>168</v>
      </c>
      <c r="L384" s="95">
        <f t="shared" si="377"/>
        <v>1680</v>
      </c>
      <c r="M384" s="96">
        <f t="shared" si="378"/>
        <v>75</v>
      </c>
      <c r="N384" s="97">
        <v>1.05</v>
      </c>
      <c r="O384" s="97">
        <f t="shared" si="380"/>
        <v>10.5</v>
      </c>
      <c r="P384" s="95">
        <f t="shared" si="381"/>
        <v>787.5</v>
      </c>
      <c r="Q384" s="98">
        <f t="shared" si="382"/>
        <v>2467.5</v>
      </c>
      <c r="R384" s="119"/>
    </row>
    <row r="385" spans="1:18" x14ac:dyDescent="0.3">
      <c r="A385" s="86" t="str">
        <f>IF(TRIM(H385)&lt;&gt;"",COUNTA(H$9:$H385)&amp;"","")</f>
        <v>248</v>
      </c>
      <c r="B385" s="87" t="s">
        <v>522</v>
      </c>
      <c r="C385" s="87" t="s">
        <v>522</v>
      </c>
      <c r="D385" s="88"/>
      <c r="E385" s="100" t="s">
        <v>533</v>
      </c>
      <c r="F385" s="90">
        <v>4</v>
      </c>
      <c r="H385" s="91" t="s">
        <v>239</v>
      </c>
      <c r="I385" s="92">
        <f t="shared" si="383"/>
        <v>0</v>
      </c>
      <c r="J385" s="93">
        <f t="shared" si="375"/>
        <v>4</v>
      </c>
      <c r="K385" s="94">
        <v>166.4</v>
      </c>
      <c r="L385" s="95">
        <f t="shared" si="377"/>
        <v>665.6</v>
      </c>
      <c r="M385" s="96">
        <f t="shared" si="378"/>
        <v>75</v>
      </c>
      <c r="N385" s="97">
        <v>1.04</v>
      </c>
      <c r="O385" s="97">
        <f t="shared" si="380"/>
        <v>4.16</v>
      </c>
      <c r="P385" s="95">
        <f t="shared" si="381"/>
        <v>312</v>
      </c>
      <c r="Q385" s="98">
        <f t="shared" si="382"/>
        <v>977.6</v>
      </c>
      <c r="R385" s="119"/>
    </row>
    <row r="386" spans="1:18" x14ac:dyDescent="0.3">
      <c r="A386" s="86" t="str">
        <f>IF(TRIM(H386)&lt;&gt;"",COUNTA(H$9:$H386)&amp;"","")</f>
        <v>249</v>
      </c>
      <c r="B386" s="87" t="s">
        <v>522</v>
      </c>
      <c r="C386" s="87" t="s">
        <v>522</v>
      </c>
      <c r="D386" s="88"/>
      <c r="E386" s="102" t="s">
        <v>534</v>
      </c>
      <c r="F386" s="90">
        <v>6</v>
      </c>
      <c r="H386" s="91" t="s">
        <v>239</v>
      </c>
      <c r="I386" s="92">
        <f t="shared" si="383"/>
        <v>0</v>
      </c>
      <c r="J386" s="93">
        <f t="shared" si="375"/>
        <v>6</v>
      </c>
      <c r="K386" s="94">
        <v>169.6</v>
      </c>
      <c r="L386" s="95">
        <f t="shared" si="377"/>
        <v>1017.5999999999999</v>
      </c>
      <c r="M386" s="96">
        <f t="shared" si="378"/>
        <v>75</v>
      </c>
      <c r="N386" s="97">
        <v>1.06</v>
      </c>
      <c r="O386" s="97">
        <f t="shared" si="380"/>
        <v>6.36</v>
      </c>
      <c r="P386" s="95">
        <f t="shared" si="381"/>
        <v>477</v>
      </c>
      <c r="Q386" s="98">
        <f t="shared" si="382"/>
        <v>1494.6</v>
      </c>
      <c r="R386" s="119"/>
    </row>
    <row r="387" spans="1:18" ht="15" thickBot="1" x14ac:dyDescent="0.35">
      <c r="A387" s="86" t="str">
        <f>IF(TRIM(H387)&lt;&gt;"",COUNTA(H$9:$H387)&amp;"","")</f>
        <v/>
      </c>
      <c r="B387" s="101"/>
      <c r="C387" s="101"/>
      <c r="D387" s="88"/>
      <c r="E387" s="102"/>
      <c r="F387" s="90"/>
      <c r="H387" s="91"/>
      <c r="I387" s="92" t="str">
        <f t="shared" ref="I387" si="384">IF(F387=0,"",0)</f>
        <v/>
      </c>
      <c r="J387" s="93" t="str">
        <f t="shared" ref="J387" si="385">IF(F387=0,"",F387+(F387*I387))</f>
        <v/>
      </c>
      <c r="K387" s="94" t="str">
        <f t="shared" ref="K387" si="386">IF(F387=0,"",0)</f>
        <v/>
      </c>
      <c r="L387" s="95" t="str">
        <f t="shared" ref="L387" si="387">IF(F387=0,"",K387*J387)</f>
        <v/>
      </c>
      <c r="M387" s="96" t="str">
        <f t="shared" ref="M387" si="388">IF(F387=0,"",M$7)</f>
        <v/>
      </c>
      <c r="N387" s="97" t="str">
        <f t="shared" ref="N387" si="389">IF(F387=0,"",0)</f>
        <v/>
      </c>
      <c r="O387" s="97" t="str">
        <f t="shared" ref="O387" si="390">IF(F387=0,"",N387*J387)</f>
        <v/>
      </c>
      <c r="P387" s="95" t="str">
        <f t="shared" ref="P387" si="391">IF(F387=0,"",O387*M387)</f>
        <v/>
      </c>
      <c r="Q387" s="98" t="str">
        <f t="shared" ref="Q387" si="392">IF(F387=0,"",L387+P387)</f>
        <v/>
      </c>
      <c r="R387" s="119"/>
    </row>
    <row r="388" spans="1:18" s="114" customFormat="1" ht="16.2" thickBot="1" x14ac:dyDescent="0.35">
      <c r="A388" s="86" t="str">
        <f>IF(TRIM(H388)&lt;&gt;"",COUNTA(H$9:$H388)&amp;"","")</f>
        <v/>
      </c>
      <c r="B388" s="121"/>
      <c r="C388" s="121"/>
      <c r="D388" s="122"/>
      <c r="E388" s="105"/>
      <c r="F388" s="90"/>
      <c r="H388" s="123"/>
      <c r="I388" s="108" t="s">
        <v>12</v>
      </c>
      <c r="J388" s="109"/>
      <c r="K388" s="110">
        <f>SUM(L$370:L$387)</f>
        <v>23569.165799999995</v>
      </c>
      <c r="L388" s="190" t="s">
        <v>13</v>
      </c>
      <c r="M388" s="191"/>
      <c r="N388" s="111">
        <f>SUM(P$370:P$387)</f>
        <v>18760.832249999999</v>
      </c>
      <c r="O388" s="190" t="s">
        <v>42</v>
      </c>
      <c r="P388" s="191"/>
      <c r="Q388" s="112">
        <f>SUM(O$370:O$387)</f>
        <v>250.14443</v>
      </c>
      <c r="R388" s="113">
        <f>SUM(Q$370:Q$387)</f>
        <v>42329.998050000002</v>
      </c>
    </row>
    <row r="389" spans="1:18" s="171" customFormat="1" ht="20.100000000000001" customHeight="1" x14ac:dyDescent="0.3">
      <c r="A389" s="167" t="str">
        <f>IF(TRIM(H389)&lt;&gt;"",COUNTA(H$9:$H389)&amp;"","")</f>
        <v/>
      </c>
      <c r="B389" s="168"/>
      <c r="C389" s="168"/>
      <c r="D389" s="169">
        <v>220000</v>
      </c>
      <c r="E389" s="169" t="s">
        <v>174</v>
      </c>
      <c r="F389" s="170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72"/>
    </row>
    <row r="390" spans="1:18" ht="15.6" x14ac:dyDescent="0.3">
      <c r="A390" s="86" t="str">
        <f>IF(TRIM(H390)&lt;&gt;"",COUNTA(H$9:$H390)&amp;"","")</f>
        <v/>
      </c>
      <c r="B390" s="87"/>
      <c r="C390" s="87"/>
      <c r="D390" s="88"/>
      <c r="E390" s="164" t="s">
        <v>199</v>
      </c>
      <c r="F390" s="90"/>
      <c r="H390" s="91"/>
      <c r="I390" s="92" t="str">
        <f t="shared" ref="I390" si="393">IF(F390=0,"",0)</f>
        <v/>
      </c>
      <c r="J390" s="93" t="str">
        <f t="shared" ref="J390" si="394">IF(F390=0,"",F390+(F390*I390))</f>
        <v/>
      </c>
      <c r="K390" s="94" t="str">
        <f t="shared" ref="K390" si="395">IF(F390=0,"",0)</f>
        <v/>
      </c>
      <c r="L390" s="95" t="str">
        <f t="shared" ref="L390" si="396">IF(F390=0,"",K390*J390)</f>
        <v/>
      </c>
      <c r="M390" s="96" t="str">
        <f t="shared" ref="M390" si="397">IF(F390=0,"",M$7)</f>
        <v/>
      </c>
      <c r="N390" s="97" t="str">
        <f t="shared" ref="N390" si="398">IF(F390=0,"",0)</f>
        <v/>
      </c>
      <c r="O390" s="97" t="str">
        <f t="shared" ref="O390" si="399">IF(F390=0,"",N390*J390)</f>
        <v/>
      </c>
      <c r="P390" s="95" t="str">
        <f t="shared" ref="P390" si="400">IF(F390=0,"",O390*M390)</f>
        <v/>
      </c>
      <c r="Q390" s="98" t="str">
        <f t="shared" ref="Q390" si="401">IF(F390=0,"",L390+P390)</f>
        <v/>
      </c>
      <c r="R390" s="119"/>
    </row>
    <row r="391" spans="1:18" x14ac:dyDescent="0.3">
      <c r="A391" s="86" t="str">
        <f>IF(TRIM(H391)&lt;&gt;"",COUNTA(H$9:$H391)&amp;"","")</f>
        <v/>
      </c>
      <c r="B391" s="87"/>
      <c r="C391" s="87"/>
      <c r="D391" s="88"/>
      <c r="E391" s="125" t="s">
        <v>535</v>
      </c>
      <c r="F391" s="90"/>
      <c r="H391" s="91"/>
      <c r="I391" s="92" t="str">
        <f>IF(F391=0,"",0)</f>
        <v/>
      </c>
      <c r="J391" s="93" t="str">
        <f>IF(F391=0,"",F391+(F391*I391))</f>
        <v/>
      </c>
      <c r="K391" s="94" t="str">
        <f>IF(F391=0,"",0)</f>
        <v/>
      </c>
      <c r="L391" s="95" t="str">
        <f>IF(F391=0,"",K391*J391)</f>
        <v/>
      </c>
      <c r="M391" s="96" t="str">
        <f>IF(F391=0,"",M$7)</f>
        <v/>
      </c>
      <c r="N391" s="97" t="str">
        <f>IF(F391=0,"",0)</f>
        <v/>
      </c>
      <c r="O391" s="97" t="str">
        <f>IF(F391=0,"",N391*J391)</f>
        <v/>
      </c>
      <c r="P391" s="95" t="str">
        <f>IF(F391=0,"",O391*M391)</f>
        <v/>
      </c>
      <c r="Q391" s="98" t="str">
        <f>IF(F391=0,"",L391+P391)</f>
        <v/>
      </c>
      <c r="R391" s="119"/>
    </row>
    <row r="392" spans="1:18" x14ac:dyDescent="0.3">
      <c r="A392" s="86" t="str">
        <f>IF(TRIM(H392)&lt;&gt;"",COUNTA(H$9:$H392)&amp;"","")</f>
        <v>250</v>
      </c>
      <c r="B392" s="87" t="s">
        <v>536</v>
      </c>
      <c r="C392" s="87" t="s">
        <v>536</v>
      </c>
      <c r="D392" s="88"/>
      <c r="E392" s="89" t="s">
        <v>537</v>
      </c>
      <c r="F392" s="90">
        <v>61.31</v>
      </c>
      <c r="H392" s="91" t="s">
        <v>210</v>
      </c>
      <c r="I392" s="92">
        <v>0.1</v>
      </c>
      <c r="J392" s="93">
        <f t="shared" ref="J392:J455" si="402">IF(F392=0,"",F392+(F392*I392))</f>
        <v>67.441000000000003</v>
      </c>
      <c r="K392" s="94">
        <v>9</v>
      </c>
      <c r="L392" s="95">
        <f t="shared" ref="L392:L455" si="403">IF(F392=0,"",K392*J392)</f>
        <v>606.96900000000005</v>
      </c>
      <c r="M392" s="96">
        <f t="shared" ref="M392:M455" si="404">IF(F392=0,"",M$7)</f>
        <v>75</v>
      </c>
      <c r="N392" s="97">
        <v>0.15</v>
      </c>
      <c r="O392" s="97">
        <f t="shared" ref="O392:O455" si="405">IF(F392=0,"",N392*J392)</f>
        <v>10.116149999999999</v>
      </c>
      <c r="P392" s="95">
        <f t="shared" ref="P392:P455" si="406">IF(F392=0,"",O392*M392)</f>
        <v>758.71124999999995</v>
      </c>
      <c r="Q392" s="98">
        <f t="shared" ref="Q392:Q455" si="407">IF(F392=0,"",L392+P392)</f>
        <v>1365.6802499999999</v>
      </c>
      <c r="R392" s="119"/>
    </row>
    <row r="393" spans="1:18" x14ac:dyDescent="0.3">
      <c r="A393" s="86" t="str">
        <f>IF(TRIM(H393)&lt;&gt;"",COUNTA(H$9:$H393)&amp;"","")</f>
        <v>251</v>
      </c>
      <c r="B393" s="87" t="s">
        <v>536</v>
      </c>
      <c r="C393" s="87" t="s">
        <v>536</v>
      </c>
      <c r="D393" s="88"/>
      <c r="E393" s="89" t="s">
        <v>538</v>
      </c>
      <c r="F393" s="90">
        <v>95.42</v>
      </c>
      <c r="H393" s="91" t="s">
        <v>210</v>
      </c>
      <c r="I393" s="92">
        <v>0.1</v>
      </c>
      <c r="J393" s="93">
        <f t="shared" si="402"/>
        <v>104.962</v>
      </c>
      <c r="K393" s="94">
        <v>9</v>
      </c>
      <c r="L393" s="95">
        <f t="shared" si="403"/>
        <v>944.65800000000002</v>
      </c>
      <c r="M393" s="96">
        <f t="shared" si="404"/>
        <v>75</v>
      </c>
      <c r="N393" s="97">
        <v>0.15</v>
      </c>
      <c r="O393" s="97">
        <f t="shared" si="405"/>
        <v>15.744299999999999</v>
      </c>
      <c r="P393" s="95">
        <f t="shared" si="406"/>
        <v>1180.8225</v>
      </c>
      <c r="Q393" s="98">
        <f t="shared" si="407"/>
        <v>2125.4805000000001</v>
      </c>
      <c r="R393" s="119"/>
    </row>
    <row r="394" spans="1:18" x14ac:dyDescent="0.3">
      <c r="A394" s="86" t="str">
        <f>IF(TRIM(H394)&lt;&gt;"",COUNTA(H$9:$H394)&amp;"","")</f>
        <v>252</v>
      </c>
      <c r="B394" s="87" t="s">
        <v>536</v>
      </c>
      <c r="C394" s="87" t="s">
        <v>536</v>
      </c>
      <c r="D394" s="88"/>
      <c r="E394" s="89" t="s">
        <v>539</v>
      </c>
      <c r="F394" s="90">
        <v>7</v>
      </c>
      <c r="H394" s="91" t="s">
        <v>210</v>
      </c>
      <c r="I394" s="92">
        <v>0.1</v>
      </c>
      <c r="J394" s="93">
        <f t="shared" si="402"/>
        <v>7.7</v>
      </c>
      <c r="K394" s="94">
        <v>9</v>
      </c>
      <c r="L394" s="95">
        <f t="shared" si="403"/>
        <v>69.3</v>
      </c>
      <c r="M394" s="96">
        <f t="shared" si="404"/>
        <v>75</v>
      </c>
      <c r="N394" s="97">
        <v>0.15</v>
      </c>
      <c r="O394" s="97">
        <f t="shared" si="405"/>
        <v>1.155</v>
      </c>
      <c r="P394" s="95">
        <f t="shared" si="406"/>
        <v>86.625</v>
      </c>
      <c r="Q394" s="98">
        <f t="shared" si="407"/>
        <v>155.92500000000001</v>
      </c>
      <c r="R394" s="119"/>
    </row>
    <row r="395" spans="1:18" x14ac:dyDescent="0.3">
      <c r="A395" s="86" t="str">
        <f>IF(TRIM(H395)&lt;&gt;"",COUNTA(H$9:$H395)&amp;"","")</f>
        <v>253</v>
      </c>
      <c r="B395" s="87" t="s">
        <v>536</v>
      </c>
      <c r="C395" s="87" t="s">
        <v>536</v>
      </c>
      <c r="D395" s="88"/>
      <c r="E395" s="89" t="s">
        <v>539</v>
      </c>
      <c r="F395" s="90">
        <v>98.8</v>
      </c>
      <c r="H395" s="91" t="s">
        <v>210</v>
      </c>
      <c r="I395" s="92">
        <v>0.1</v>
      </c>
      <c r="J395" s="93">
        <f t="shared" si="402"/>
        <v>108.67999999999999</v>
      </c>
      <c r="K395" s="94">
        <v>9</v>
      </c>
      <c r="L395" s="95">
        <f t="shared" si="403"/>
        <v>978.11999999999989</v>
      </c>
      <c r="M395" s="96">
        <f t="shared" si="404"/>
        <v>75</v>
      </c>
      <c r="N395" s="97">
        <v>0.15</v>
      </c>
      <c r="O395" s="97">
        <f t="shared" si="405"/>
        <v>16.302</v>
      </c>
      <c r="P395" s="95">
        <f t="shared" si="406"/>
        <v>1222.6499999999999</v>
      </c>
      <c r="Q395" s="98">
        <f t="shared" si="407"/>
        <v>2200.7699999999995</v>
      </c>
      <c r="R395" s="119"/>
    </row>
    <row r="396" spans="1:18" x14ac:dyDescent="0.3">
      <c r="A396" s="86" t="str">
        <f>IF(TRIM(H396)&lt;&gt;"",COUNTA(H$9:$H396)&amp;"","")</f>
        <v>254</v>
      </c>
      <c r="B396" s="87" t="s">
        <v>536</v>
      </c>
      <c r="C396" s="87" t="s">
        <v>536</v>
      </c>
      <c r="D396" s="88"/>
      <c r="E396" s="89" t="s">
        <v>540</v>
      </c>
      <c r="F396" s="90">
        <v>68.22</v>
      </c>
      <c r="H396" s="91" t="s">
        <v>210</v>
      </c>
      <c r="I396" s="92">
        <v>0.1</v>
      </c>
      <c r="J396" s="93">
        <f t="shared" si="402"/>
        <v>75.042000000000002</v>
      </c>
      <c r="K396" s="94">
        <v>10.8</v>
      </c>
      <c r="L396" s="95">
        <f t="shared" si="403"/>
        <v>810.45360000000005</v>
      </c>
      <c r="M396" s="96">
        <f t="shared" si="404"/>
        <v>75</v>
      </c>
      <c r="N396" s="97">
        <v>0.18</v>
      </c>
      <c r="O396" s="97">
        <f t="shared" si="405"/>
        <v>13.50756</v>
      </c>
      <c r="P396" s="95">
        <f t="shared" si="406"/>
        <v>1013.067</v>
      </c>
      <c r="Q396" s="98">
        <f t="shared" si="407"/>
        <v>1823.5206000000001</v>
      </c>
      <c r="R396" s="119"/>
    </row>
    <row r="397" spans="1:18" x14ac:dyDescent="0.3">
      <c r="A397" s="86" t="str">
        <f>IF(TRIM(H397)&lt;&gt;"",COUNTA(H$9:$H397)&amp;"","")</f>
        <v>255</v>
      </c>
      <c r="B397" s="87" t="s">
        <v>536</v>
      </c>
      <c r="C397" s="87" t="s">
        <v>536</v>
      </c>
      <c r="D397" s="88"/>
      <c r="E397" s="89" t="s">
        <v>541</v>
      </c>
      <c r="F397" s="90">
        <v>20.65</v>
      </c>
      <c r="H397" s="91" t="s">
        <v>210</v>
      </c>
      <c r="I397" s="92">
        <v>0.1</v>
      </c>
      <c r="J397" s="93">
        <f t="shared" si="402"/>
        <v>22.715</v>
      </c>
      <c r="K397" s="94">
        <v>10.8</v>
      </c>
      <c r="L397" s="95">
        <f t="shared" si="403"/>
        <v>245.322</v>
      </c>
      <c r="M397" s="96">
        <f t="shared" si="404"/>
        <v>75</v>
      </c>
      <c r="N397" s="97">
        <v>0.18</v>
      </c>
      <c r="O397" s="97">
        <f t="shared" si="405"/>
        <v>4.0887000000000002</v>
      </c>
      <c r="P397" s="95">
        <f t="shared" si="406"/>
        <v>306.65250000000003</v>
      </c>
      <c r="Q397" s="98">
        <f t="shared" si="407"/>
        <v>551.97450000000003</v>
      </c>
      <c r="R397" s="119"/>
    </row>
    <row r="398" spans="1:18" x14ac:dyDescent="0.3">
      <c r="A398" s="86" t="str">
        <f>IF(TRIM(H398)&lt;&gt;"",COUNTA(H$9:$H398)&amp;"","")</f>
        <v>256</v>
      </c>
      <c r="B398" s="87" t="s">
        <v>536</v>
      </c>
      <c r="C398" s="87" t="s">
        <v>536</v>
      </c>
      <c r="D398" s="88"/>
      <c r="E398" s="89" t="s">
        <v>541</v>
      </c>
      <c r="F398" s="90">
        <v>143.07</v>
      </c>
      <c r="H398" s="91" t="s">
        <v>210</v>
      </c>
      <c r="I398" s="92">
        <v>0.1</v>
      </c>
      <c r="J398" s="93">
        <f t="shared" si="402"/>
        <v>157.37699999999998</v>
      </c>
      <c r="K398" s="94">
        <v>10.8</v>
      </c>
      <c r="L398" s="95">
        <f t="shared" si="403"/>
        <v>1699.6715999999999</v>
      </c>
      <c r="M398" s="96">
        <f t="shared" si="404"/>
        <v>75</v>
      </c>
      <c r="N398" s="97">
        <v>0.18</v>
      </c>
      <c r="O398" s="97">
        <f t="shared" si="405"/>
        <v>28.327859999999994</v>
      </c>
      <c r="P398" s="95">
        <f t="shared" si="406"/>
        <v>2124.5894999999996</v>
      </c>
      <c r="Q398" s="98">
        <f t="shared" si="407"/>
        <v>3824.2610999999997</v>
      </c>
      <c r="R398" s="119"/>
    </row>
    <row r="399" spans="1:18" x14ac:dyDescent="0.3">
      <c r="A399" s="86" t="str">
        <f>IF(TRIM(H399)&lt;&gt;"",COUNTA(H$9:$H399)&amp;"","")</f>
        <v>257</v>
      </c>
      <c r="B399" s="87" t="s">
        <v>536</v>
      </c>
      <c r="C399" s="87" t="s">
        <v>536</v>
      </c>
      <c r="D399" s="88"/>
      <c r="E399" s="89" t="s">
        <v>542</v>
      </c>
      <c r="F399" s="90">
        <v>254.8</v>
      </c>
      <c r="H399" s="91" t="s">
        <v>210</v>
      </c>
      <c r="I399" s="92">
        <v>0.1</v>
      </c>
      <c r="J399" s="93">
        <f t="shared" si="402"/>
        <v>280.28000000000003</v>
      </c>
      <c r="K399" s="94">
        <v>10.8</v>
      </c>
      <c r="L399" s="95">
        <f t="shared" si="403"/>
        <v>3027.0240000000003</v>
      </c>
      <c r="M399" s="96">
        <f t="shared" si="404"/>
        <v>75</v>
      </c>
      <c r="N399" s="97">
        <v>0.18</v>
      </c>
      <c r="O399" s="97">
        <f t="shared" si="405"/>
        <v>50.450400000000002</v>
      </c>
      <c r="P399" s="95">
        <f t="shared" si="406"/>
        <v>3783.78</v>
      </c>
      <c r="Q399" s="98">
        <f t="shared" si="407"/>
        <v>6810.8040000000001</v>
      </c>
      <c r="R399" s="119"/>
    </row>
    <row r="400" spans="1:18" x14ac:dyDescent="0.3">
      <c r="A400" s="86" t="str">
        <f>IF(TRIM(H400)&lt;&gt;"",COUNTA(H$9:$H400)&amp;"","")</f>
        <v>258</v>
      </c>
      <c r="B400" s="87" t="s">
        <v>536</v>
      </c>
      <c r="C400" s="87" t="s">
        <v>536</v>
      </c>
      <c r="D400" s="88"/>
      <c r="E400" s="89" t="s">
        <v>543</v>
      </c>
      <c r="F400" s="90">
        <v>124.71</v>
      </c>
      <c r="H400" s="91" t="s">
        <v>210</v>
      </c>
      <c r="I400" s="92">
        <v>0.1</v>
      </c>
      <c r="J400" s="93">
        <f t="shared" si="402"/>
        <v>137.18099999999998</v>
      </c>
      <c r="K400" s="94">
        <v>13.2</v>
      </c>
      <c r="L400" s="95">
        <f t="shared" si="403"/>
        <v>1810.7891999999997</v>
      </c>
      <c r="M400" s="96">
        <f t="shared" si="404"/>
        <v>75</v>
      </c>
      <c r="N400" s="97">
        <v>0.22000000000000003</v>
      </c>
      <c r="O400" s="97">
        <f t="shared" si="405"/>
        <v>30.179819999999999</v>
      </c>
      <c r="P400" s="95">
        <f t="shared" si="406"/>
        <v>2263.4865</v>
      </c>
      <c r="Q400" s="98">
        <f t="shared" si="407"/>
        <v>4074.2756999999997</v>
      </c>
      <c r="R400" s="119"/>
    </row>
    <row r="401" spans="1:18" x14ac:dyDescent="0.3">
      <c r="A401" s="86" t="str">
        <f>IF(TRIM(H401)&lt;&gt;"",COUNTA(H$9:$H401)&amp;"","")</f>
        <v>259</v>
      </c>
      <c r="B401" s="87" t="s">
        <v>536</v>
      </c>
      <c r="C401" s="87" t="s">
        <v>536</v>
      </c>
      <c r="D401" s="88"/>
      <c r="E401" s="89" t="s">
        <v>543</v>
      </c>
      <c r="F401" s="90">
        <v>52.14</v>
      </c>
      <c r="H401" s="91" t="s">
        <v>210</v>
      </c>
      <c r="I401" s="92">
        <v>0.1</v>
      </c>
      <c r="J401" s="93">
        <f t="shared" si="402"/>
        <v>57.353999999999999</v>
      </c>
      <c r="K401" s="94">
        <v>13.2</v>
      </c>
      <c r="L401" s="95">
        <f t="shared" si="403"/>
        <v>757.07279999999992</v>
      </c>
      <c r="M401" s="96">
        <f t="shared" si="404"/>
        <v>75</v>
      </c>
      <c r="N401" s="97">
        <v>0.22000000000000003</v>
      </c>
      <c r="O401" s="97">
        <f t="shared" si="405"/>
        <v>12.617880000000001</v>
      </c>
      <c r="P401" s="95">
        <f t="shared" si="406"/>
        <v>946.34100000000012</v>
      </c>
      <c r="Q401" s="98">
        <f t="shared" si="407"/>
        <v>1703.4138</v>
      </c>
      <c r="R401" s="119"/>
    </row>
    <row r="402" spans="1:18" x14ac:dyDescent="0.3">
      <c r="A402" s="86" t="str">
        <f>IF(TRIM(H402)&lt;&gt;"",COUNTA(H$9:$H402)&amp;"","")</f>
        <v>260</v>
      </c>
      <c r="B402" s="87" t="s">
        <v>536</v>
      </c>
      <c r="C402" s="87" t="s">
        <v>536</v>
      </c>
      <c r="D402" s="88"/>
      <c r="E402" s="89" t="s">
        <v>544</v>
      </c>
      <c r="F402" s="90">
        <v>8.31</v>
      </c>
      <c r="H402" s="91" t="s">
        <v>210</v>
      </c>
      <c r="I402" s="92">
        <v>0.1</v>
      </c>
      <c r="J402" s="93">
        <f t="shared" si="402"/>
        <v>9.141</v>
      </c>
      <c r="K402" s="94">
        <v>13.2</v>
      </c>
      <c r="L402" s="95">
        <f t="shared" si="403"/>
        <v>120.66119999999999</v>
      </c>
      <c r="M402" s="96">
        <f t="shared" si="404"/>
        <v>75</v>
      </c>
      <c r="N402" s="97">
        <v>0.22000000000000003</v>
      </c>
      <c r="O402" s="97">
        <f t="shared" si="405"/>
        <v>2.0110200000000003</v>
      </c>
      <c r="P402" s="95">
        <f t="shared" si="406"/>
        <v>150.82650000000001</v>
      </c>
      <c r="Q402" s="98">
        <f t="shared" si="407"/>
        <v>271.48770000000002</v>
      </c>
      <c r="R402" s="119"/>
    </row>
    <row r="403" spans="1:18" x14ac:dyDescent="0.3">
      <c r="A403" s="86" t="str">
        <f>IF(TRIM(H403)&lt;&gt;"",COUNTA(H$9:$H403)&amp;"","")</f>
        <v>261</v>
      </c>
      <c r="B403" s="87" t="s">
        <v>536</v>
      </c>
      <c r="C403" s="87" t="s">
        <v>536</v>
      </c>
      <c r="D403" s="88"/>
      <c r="E403" s="89" t="s">
        <v>545</v>
      </c>
      <c r="F403" s="90">
        <v>133.29</v>
      </c>
      <c r="H403" s="91" t="s">
        <v>210</v>
      </c>
      <c r="I403" s="92">
        <v>0.1</v>
      </c>
      <c r="J403" s="93">
        <f t="shared" si="402"/>
        <v>146.619</v>
      </c>
      <c r="K403" s="94">
        <v>20.399999999999999</v>
      </c>
      <c r="L403" s="95">
        <f t="shared" si="403"/>
        <v>2991.0275999999999</v>
      </c>
      <c r="M403" s="96">
        <f t="shared" si="404"/>
        <v>75</v>
      </c>
      <c r="N403" s="97">
        <v>0.34</v>
      </c>
      <c r="O403" s="97">
        <f t="shared" si="405"/>
        <v>49.850460000000005</v>
      </c>
      <c r="P403" s="95">
        <f t="shared" si="406"/>
        <v>3738.7845000000002</v>
      </c>
      <c r="Q403" s="98">
        <f t="shared" si="407"/>
        <v>6729.8121000000001</v>
      </c>
      <c r="R403" s="119"/>
    </row>
    <row r="404" spans="1:18" x14ac:dyDescent="0.3">
      <c r="A404" s="86" t="str">
        <f>IF(TRIM(H404)&lt;&gt;"",COUNTA(H$9:$H404)&amp;"","")</f>
        <v>262</v>
      </c>
      <c r="B404" s="87" t="s">
        <v>536</v>
      </c>
      <c r="C404" s="87" t="s">
        <v>536</v>
      </c>
      <c r="D404" s="88"/>
      <c r="E404" s="89" t="s">
        <v>546</v>
      </c>
      <c r="F404" s="90">
        <v>55.45</v>
      </c>
      <c r="H404" s="91" t="s">
        <v>210</v>
      </c>
      <c r="I404" s="92">
        <v>0.1</v>
      </c>
      <c r="J404" s="93">
        <f t="shared" si="402"/>
        <v>60.995000000000005</v>
      </c>
      <c r="K404" s="94">
        <v>16.799999999999997</v>
      </c>
      <c r="L404" s="95">
        <f t="shared" si="403"/>
        <v>1024.7159999999999</v>
      </c>
      <c r="M404" s="96">
        <f t="shared" si="404"/>
        <v>75</v>
      </c>
      <c r="N404" s="97">
        <v>0.28000000000000003</v>
      </c>
      <c r="O404" s="97">
        <f t="shared" si="405"/>
        <v>17.078600000000002</v>
      </c>
      <c r="P404" s="95">
        <f t="shared" si="406"/>
        <v>1280.8950000000002</v>
      </c>
      <c r="Q404" s="98">
        <f t="shared" si="407"/>
        <v>2305.6109999999999</v>
      </c>
      <c r="R404" s="119"/>
    </row>
    <row r="405" spans="1:18" x14ac:dyDescent="0.3">
      <c r="A405" s="86" t="str">
        <f>IF(TRIM(H405)&lt;&gt;"",COUNTA(H$9:$H405)&amp;"","")</f>
        <v>263</v>
      </c>
      <c r="B405" s="87" t="s">
        <v>536</v>
      </c>
      <c r="C405" s="87" t="s">
        <v>536</v>
      </c>
      <c r="D405" s="88"/>
      <c r="E405" s="89" t="s">
        <v>547</v>
      </c>
      <c r="F405" s="90">
        <v>10.74</v>
      </c>
      <c r="H405" s="91" t="s">
        <v>210</v>
      </c>
      <c r="I405" s="92">
        <v>0.1</v>
      </c>
      <c r="J405" s="93">
        <f t="shared" si="402"/>
        <v>11.814</v>
      </c>
      <c r="K405" s="94">
        <v>28.799999999999997</v>
      </c>
      <c r="L405" s="95">
        <f t="shared" si="403"/>
        <v>340.24319999999994</v>
      </c>
      <c r="M405" s="96">
        <f t="shared" si="404"/>
        <v>75</v>
      </c>
      <c r="N405" s="97">
        <v>0.48000000000000009</v>
      </c>
      <c r="O405" s="97">
        <f t="shared" si="405"/>
        <v>5.6707200000000011</v>
      </c>
      <c r="P405" s="95">
        <f t="shared" si="406"/>
        <v>425.30400000000009</v>
      </c>
      <c r="Q405" s="98">
        <f t="shared" si="407"/>
        <v>765.54719999999998</v>
      </c>
      <c r="R405" s="119"/>
    </row>
    <row r="406" spans="1:18" x14ac:dyDescent="0.3">
      <c r="A406" s="86" t="str">
        <f>IF(TRIM(H406)&lt;&gt;"",COUNTA(H$9:$H406)&amp;"","")</f>
        <v>264</v>
      </c>
      <c r="B406" s="87" t="s">
        <v>536</v>
      </c>
      <c r="C406" s="87" t="s">
        <v>536</v>
      </c>
      <c r="D406" s="88"/>
      <c r="E406" s="89" t="s">
        <v>547</v>
      </c>
      <c r="F406" s="90">
        <v>144.25</v>
      </c>
      <c r="H406" s="91" t="s">
        <v>210</v>
      </c>
      <c r="I406" s="92">
        <v>0.1</v>
      </c>
      <c r="J406" s="93">
        <f t="shared" si="402"/>
        <v>158.67500000000001</v>
      </c>
      <c r="K406" s="94">
        <v>28.799999999999997</v>
      </c>
      <c r="L406" s="95">
        <f t="shared" si="403"/>
        <v>4569.84</v>
      </c>
      <c r="M406" s="96">
        <f t="shared" si="404"/>
        <v>75</v>
      </c>
      <c r="N406" s="97">
        <v>0.48000000000000009</v>
      </c>
      <c r="O406" s="97">
        <f t="shared" si="405"/>
        <v>76.164000000000016</v>
      </c>
      <c r="P406" s="95">
        <f t="shared" si="406"/>
        <v>5712.3000000000011</v>
      </c>
      <c r="Q406" s="98">
        <f t="shared" si="407"/>
        <v>10282.140000000001</v>
      </c>
      <c r="R406" s="119"/>
    </row>
    <row r="407" spans="1:18" x14ac:dyDescent="0.3">
      <c r="A407" s="86" t="str">
        <f>IF(TRIM(H407)&lt;&gt;"",COUNTA(H$9:$H407)&amp;"","")</f>
        <v>265</v>
      </c>
      <c r="B407" s="87" t="s">
        <v>536</v>
      </c>
      <c r="C407" s="87" t="s">
        <v>536</v>
      </c>
      <c r="D407" s="88"/>
      <c r="E407" s="89" t="s">
        <v>548</v>
      </c>
      <c r="F407" s="90">
        <v>7</v>
      </c>
      <c r="H407" s="91" t="s">
        <v>210</v>
      </c>
      <c r="I407" s="92">
        <v>0.1</v>
      </c>
      <c r="J407" s="93">
        <f t="shared" si="402"/>
        <v>7.7</v>
      </c>
      <c r="K407" s="94">
        <v>38.4</v>
      </c>
      <c r="L407" s="95">
        <f t="shared" si="403"/>
        <v>295.68</v>
      </c>
      <c r="M407" s="96">
        <f t="shared" si="404"/>
        <v>75</v>
      </c>
      <c r="N407" s="97">
        <v>0.64</v>
      </c>
      <c r="O407" s="97">
        <f t="shared" si="405"/>
        <v>4.9279999999999999</v>
      </c>
      <c r="P407" s="95">
        <f t="shared" si="406"/>
        <v>369.6</v>
      </c>
      <c r="Q407" s="98">
        <f t="shared" si="407"/>
        <v>665.28</v>
      </c>
      <c r="R407" s="119"/>
    </row>
    <row r="408" spans="1:18" x14ac:dyDescent="0.3">
      <c r="A408" s="86" t="str">
        <f>IF(TRIM(H408)&lt;&gt;"",COUNTA(H$9:$H408)&amp;"","")</f>
        <v/>
      </c>
      <c r="B408" s="87"/>
      <c r="C408" s="87"/>
      <c r="D408" s="88"/>
      <c r="E408" s="89" t="s">
        <v>549</v>
      </c>
      <c r="F408" s="90"/>
      <c r="H408" s="91"/>
      <c r="I408" s="92" t="str">
        <f t="shared" ref="I408:I463" si="408">IF(F408=0,"",0)</f>
        <v/>
      </c>
      <c r="J408" s="93" t="str">
        <f t="shared" si="402"/>
        <v/>
      </c>
      <c r="K408" s="94" t="s">
        <v>549</v>
      </c>
      <c r="L408" s="95" t="str">
        <f t="shared" si="403"/>
        <v/>
      </c>
      <c r="M408" s="96" t="str">
        <f t="shared" si="404"/>
        <v/>
      </c>
      <c r="N408" s="97" t="s">
        <v>549</v>
      </c>
      <c r="O408" s="97" t="str">
        <f t="shared" si="405"/>
        <v/>
      </c>
      <c r="P408" s="95" t="str">
        <f t="shared" si="406"/>
        <v/>
      </c>
      <c r="Q408" s="98" t="str">
        <f t="shared" si="407"/>
        <v/>
      </c>
      <c r="R408" s="119"/>
    </row>
    <row r="409" spans="1:18" x14ac:dyDescent="0.3">
      <c r="A409" s="86" t="str">
        <f>IF(TRIM(H409)&lt;&gt;"",COUNTA(H$9:$H409)&amp;"","")</f>
        <v/>
      </c>
      <c r="B409" s="87"/>
      <c r="C409" s="87"/>
      <c r="D409" s="88"/>
      <c r="E409" s="125" t="s">
        <v>550</v>
      </c>
      <c r="F409" s="90"/>
      <c r="H409" s="91"/>
      <c r="I409" s="92" t="str">
        <f t="shared" si="408"/>
        <v/>
      </c>
      <c r="J409" s="93" t="str">
        <f t="shared" si="402"/>
        <v/>
      </c>
      <c r="K409" s="94" t="s">
        <v>549</v>
      </c>
      <c r="L409" s="95" t="str">
        <f t="shared" si="403"/>
        <v/>
      </c>
      <c r="M409" s="96" t="str">
        <f t="shared" si="404"/>
        <v/>
      </c>
      <c r="N409" s="97" t="s">
        <v>549</v>
      </c>
      <c r="O409" s="97" t="str">
        <f t="shared" si="405"/>
        <v/>
      </c>
      <c r="P409" s="95" t="str">
        <f t="shared" si="406"/>
        <v/>
      </c>
      <c r="Q409" s="98" t="str">
        <f t="shared" si="407"/>
        <v/>
      </c>
      <c r="R409" s="119"/>
    </row>
    <row r="410" spans="1:18" x14ac:dyDescent="0.3">
      <c r="A410" s="86" t="str">
        <f>IF(TRIM(H410)&lt;&gt;"",COUNTA(H$9:$H410)&amp;"","")</f>
        <v>266</v>
      </c>
      <c r="B410" s="87" t="s">
        <v>536</v>
      </c>
      <c r="C410" s="87" t="s">
        <v>536</v>
      </c>
      <c r="D410" s="88"/>
      <c r="E410" s="89" t="s">
        <v>551</v>
      </c>
      <c r="F410" s="90">
        <v>17</v>
      </c>
      <c r="H410" s="91" t="s">
        <v>239</v>
      </c>
      <c r="I410" s="92">
        <f t="shared" si="408"/>
        <v>0</v>
      </c>
      <c r="J410" s="93">
        <f t="shared" si="402"/>
        <v>17</v>
      </c>
      <c r="K410" s="94">
        <v>8.4</v>
      </c>
      <c r="L410" s="95">
        <f t="shared" si="403"/>
        <v>142.80000000000001</v>
      </c>
      <c r="M410" s="96">
        <f t="shared" si="404"/>
        <v>75</v>
      </c>
      <c r="N410" s="97">
        <v>5.2500000000000005E-2</v>
      </c>
      <c r="O410" s="97">
        <f t="shared" si="405"/>
        <v>0.89250000000000007</v>
      </c>
      <c r="P410" s="95">
        <f t="shared" si="406"/>
        <v>66.9375</v>
      </c>
      <c r="Q410" s="98">
        <f t="shared" si="407"/>
        <v>209.73750000000001</v>
      </c>
      <c r="R410" s="119"/>
    </row>
    <row r="411" spans="1:18" x14ac:dyDescent="0.3">
      <c r="A411" s="86" t="str">
        <f>IF(TRIM(H411)&lt;&gt;"",COUNTA(H$9:$H411)&amp;"","")</f>
        <v>267</v>
      </c>
      <c r="B411" s="87" t="s">
        <v>536</v>
      </c>
      <c r="C411" s="87" t="s">
        <v>536</v>
      </c>
      <c r="D411" s="88"/>
      <c r="E411" s="89" t="s">
        <v>552</v>
      </c>
      <c r="F411" s="90">
        <v>10</v>
      </c>
      <c r="H411" s="91" t="s">
        <v>239</v>
      </c>
      <c r="I411" s="92">
        <f t="shared" si="408"/>
        <v>0</v>
      </c>
      <c r="J411" s="93">
        <f t="shared" si="402"/>
        <v>10</v>
      </c>
      <c r="K411" s="94">
        <v>9.1999999999999993</v>
      </c>
      <c r="L411" s="95">
        <f t="shared" si="403"/>
        <v>92</v>
      </c>
      <c r="M411" s="96">
        <f t="shared" si="404"/>
        <v>75</v>
      </c>
      <c r="N411" s="97">
        <v>5.7500000000000009E-2</v>
      </c>
      <c r="O411" s="97">
        <f t="shared" si="405"/>
        <v>0.57500000000000007</v>
      </c>
      <c r="P411" s="95">
        <f t="shared" si="406"/>
        <v>43.125000000000007</v>
      </c>
      <c r="Q411" s="98">
        <f t="shared" si="407"/>
        <v>135.125</v>
      </c>
      <c r="R411" s="119"/>
    </row>
    <row r="412" spans="1:18" x14ac:dyDescent="0.3">
      <c r="A412" s="86" t="str">
        <f>IF(TRIM(H412)&lt;&gt;"",COUNTA(H$9:$H412)&amp;"","")</f>
        <v>268</v>
      </c>
      <c r="B412" s="87" t="s">
        <v>536</v>
      </c>
      <c r="C412" s="87" t="s">
        <v>536</v>
      </c>
      <c r="D412" s="88"/>
      <c r="E412" s="89" t="s">
        <v>553</v>
      </c>
      <c r="F412" s="90">
        <v>1</v>
      </c>
      <c r="H412" s="91" t="s">
        <v>239</v>
      </c>
      <c r="I412" s="92">
        <f t="shared" si="408"/>
        <v>0</v>
      </c>
      <c r="J412" s="93">
        <f t="shared" si="402"/>
        <v>1</v>
      </c>
      <c r="K412" s="94">
        <v>9.1999999999999993</v>
      </c>
      <c r="L412" s="95">
        <f t="shared" si="403"/>
        <v>9.1999999999999993</v>
      </c>
      <c r="M412" s="96">
        <f t="shared" si="404"/>
        <v>75</v>
      </c>
      <c r="N412" s="97">
        <v>5.7500000000000009E-2</v>
      </c>
      <c r="O412" s="97">
        <f t="shared" si="405"/>
        <v>5.7500000000000009E-2</v>
      </c>
      <c r="P412" s="95">
        <f t="shared" si="406"/>
        <v>4.3125000000000009</v>
      </c>
      <c r="Q412" s="98">
        <f t="shared" si="407"/>
        <v>13.512499999999999</v>
      </c>
      <c r="R412" s="119"/>
    </row>
    <row r="413" spans="1:18" x14ac:dyDescent="0.3">
      <c r="A413" s="86" t="str">
        <f>IF(TRIM(H413)&lt;&gt;"",COUNTA(H$9:$H413)&amp;"","")</f>
        <v>269</v>
      </c>
      <c r="B413" s="87" t="s">
        <v>536</v>
      </c>
      <c r="C413" s="87" t="s">
        <v>536</v>
      </c>
      <c r="D413" s="88"/>
      <c r="E413" s="89" t="s">
        <v>554</v>
      </c>
      <c r="F413" s="90">
        <v>29</v>
      </c>
      <c r="H413" s="91" t="s">
        <v>239</v>
      </c>
      <c r="I413" s="92">
        <f t="shared" si="408"/>
        <v>0</v>
      </c>
      <c r="J413" s="93">
        <f t="shared" si="402"/>
        <v>29</v>
      </c>
      <c r="K413" s="94">
        <v>6.8</v>
      </c>
      <c r="L413" s="95">
        <f t="shared" si="403"/>
        <v>197.2</v>
      </c>
      <c r="M413" s="96">
        <f t="shared" si="404"/>
        <v>75</v>
      </c>
      <c r="N413" s="97">
        <v>4.2500000000000003E-2</v>
      </c>
      <c r="O413" s="97">
        <f t="shared" si="405"/>
        <v>1.2325000000000002</v>
      </c>
      <c r="P413" s="95">
        <f t="shared" si="406"/>
        <v>92.437500000000014</v>
      </c>
      <c r="Q413" s="98">
        <f t="shared" si="407"/>
        <v>289.63749999999999</v>
      </c>
      <c r="R413" s="119"/>
    </row>
    <row r="414" spans="1:18" x14ac:dyDescent="0.3">
      <c r="A414" s="86" t="str">
        <f>IF(TRIM(H414)&lt;&gt;"",COUNTA(H$9:$H414)&amp;"","")</f>
        <v>270</v>
      </c>
      <c r="B414" s="87" t="s">
        <v>536</v>
      </c>
      <c r="C414" s="87" t="s">
        <v>536</v>
      </c>
      <c r="D414" s="88"/>
      <c r="E414" s="89" t="s">
        <v>555</v>
      </c>
      <c r="F414" s="90">
        <v>10</v>
      </c>
      <c r="H414" s="91" t="s">
        <v>239</v>
      </c>
      <c r="I414" s="92">
        <f t="shared" si="408"/>
        <v>0</v>
      </c>
      <c r="J414" s="93">
        <f t="shared" si="402"/>
        <v>10</v>
      </c>
      <c r="K414" s="94">
        <v>10.4</v>
      </c>
      <c r="L414" s="95">
        <f t="shared" si="403"/>
        <v>104</v>
      </c>
      <c r="M414" s="96">
        <f t="shared" si="404"/>
        <v>75</v>
      </c>
      <c r="N414" s="97">
        <v>6.5000000000000002E-2</v>
      </c>
      <c r="O414" s="97">
        <f t="shared" si="405"/>
        <v>0.65</v>
      </c>
      <c r="P414" s="95">
        <f t="shared" si="406"/>
        <v>48.75</v>
      </c>
      <c r="Q414" s="98">
        <f t="shared" si="407"/>
        <v>152.75</v>
      </c>
      <c r="R414" s="119"/>
    </row>
    <row r="415" spans="1:18" x14ac:dyDescent="0.3">
      <c r="A415" s="86" t="str">
        <f>IF(TRIM(H415)&lt;&gt;"",COUNTA(H$9:$H415)&amp;"","")</f>
        <v>271</v>
      </c>
      <c r="B415" s="87" t="s">
        <v>536</v>
      </c>
      <c r="C415" s="87" t="s">
        <v>536</v>
      </c>
      <c r="D415" s="88"/>
      <c r="E415" s="89" t="s">
        <v>556</v>
      </c>
      <c r="F415" s="90">
        <v>1</v>
      </c>
      <c r="H415" s="91" t="s">
        <v>239</v>
      </c>
      <c r="I415" s="92">
        <f t="shared" si="408"/>
        <v>0</v>
      </c>
      <c r="J415" s="93">
        <f t="shared" si="402"/>
        <v>1</v>
      </c>
      <c r="K415" s="94">
        <v>9.8000000000000007</v>
      </c>
      <c r="L415" s="95">
        <f t="shared" si="403"/>
        <v>9.8000000000000007</v>
      </c>
      <c r="M415" s="96">
        <f t="shared" si="404"/>
        <v>75</v>
      </c>
      <c r="N415" s="97">
        <v>6.1250000000000006E-2</v>
      </c>
      <c r="O415" s="97">
        <f t="shared" si="405"/>
        <v>6.1250000000000006E-2</v>
      </c>
      <c r="P415" s="95">
        <f t="shared" si="406"/>
        <v>4.59375</v>
      </c>
      <c r="Q415" s="98">
        <f t="shared" si="407"/>
        <v>14.393750000000001</v>
      </c>
      <c r="R415" s="119"/>
    </row>
    <row r="416" spans="1:18" x14ac:dyDescent="0.3">
      <c r="A416" s="86" t="str">
        <f>IF(TRIM(H416)&lt;&gt;"",COUNTA(H$9:$H416)&amp;"","")</f>
        <v>272</v>
      </c>
      <c r="B416" s="87" t="s">
        <v>536</v>
      </c>
      <c r="C416" s="87" t="s">
        <v>536</v>
      </c>
      <c r="D416" s="88"/>
      <c r="E416" s="89" t="s">
        <v>557</v>
      </c>
      <c r="F416" s="90">
        <v>1</v>
      </c>
      <c r="H416" s="91" t="s">
        <v>239</v>
      </c>
      <c r="I416" s="92">
        <f t="shared" si="408"/>
        <v>0</v>
      </c>
      <c r="J416" s="93">
        <f t="shared" si="402"/>
        <v>1</v>
      </c>
      <c r="K416" s="94">
        <v>12</v>
      </c>
      <c r="L416" s="95">
        <f t="shared" si="403"/>
        <v>12</v>
      </c>
      <c r="M416" s="96">
        <f t="shared" si="404"/>
        <v>75</v>
      </c>
      <c r="N416" s="97">
        <v>7.4999999999999997E-2</v>
      </c>
      <c r="O416" s="97">
        <f t="shared" si="405"/>
        <v>7.4999999999999997E-2</v>
      </c>
      <c r="P416" s="95">
        <f t="shared" si="406"/>
        <v>5.625</v>
      </c>
      <c r="Q416" s="98">
        <f t="shared" si="407"/>
        <v>17.625</v>
      </c>
      <c r="R416" s="119"/>
    </row>
    <row r="417" spans="1:18" x14ac:dyDescent="0.3">
      <c r="A417" s="86" t="str">
        <f>IF(TRIM(H417)&lt;&gt;"",COUNTA(H$9:$H417)&amp;"","")</f>
        <v>273</v>
      </c>
      <c r="B417" s="87" t="s">
        <v>536</v>
      </c>
      <c r="C417" s="87" t="s">
        <v>536</v>
      </c>
      <c r="D417" s="88"/>
      <c r="E417" s="89" t="s">
        <v>558</v>
      </c>
      <c r="F417" s="90">
        <v>1</v>
      </c>
      <c r="H417" s="91" t="s">
        <v>239</v>
      </c>
      <c r="I417" s="92">
        <f t="shared" si="408"/>
        <v>0</v>
      </c>
      <c r="J417" s="93">
        <f t="shared" si="402"/>
        <v>1</v>
      </c>
      <c r="K417" s="94">
        <v>11.2</v>
      </c>
      <c r="L417" s="95">
        <f t="shared" si="403"/>
        <v>11.2</v>
      </c>
      <c r="M417" s="96">
        <f t="shared" si="404"/>
        <v>75</v>
      </c>
      <c r="N417" s="97">
        <v>7.0000000000000007E-2</v>
      </c>
      <c r="O417" s="97">
        <f t="shared" si="405"/>
        <v>7.0000000000000007E-2</v>
      </c>
      <c r="P417" s="95">
        <f t="shared" si="406"/>
        <v>5.2500000000000009</v>
      </c>
      <c r="Q417" s="98">
        <f t="shared" si="407"/>
        <v>16.45</v>
      </c>
      <c r="R417" s="119"/>
    </row>
    <row r="418" spans="1:18" x14ac:dyDescent="0.3">
      <c r="A418" s="86" t="str">
        <f>IF(TRIM(H418)&lt;&gt;"",COUNTA(H$9:$H418)&amp;"","")</f>
        <v>274</v>
      </c>
      <c r="B418" s="87" t="s">
        <v>536</v>
      </c>
      <c r="C418" s="87" t="s">
        <v>536</v>
      </c>
      <c r="D418" s="88"/>
      <c r="E418" s="89" t="s">
        <v>559</v>
      </c>
      <c r="F418" s="90">
        <v>40</v>
      </c>
      <c r="H418" s="91" t="s">
        <v>239</v>
      </c>
      <c r="I418" s="92">
        <f t="shared" si="408"/>
        <v>0</v>
      </c>
      <c r="J418" s="93">
        <f t="shared" si="402"/>
        <v>40</v>
      </c>
      <c r="K418" s="94">
        <v>7.6</v>
      </c>
      <c r="L418" s="95">
        <f t="shared" si="403"/>
        <v>304</v>
      </c>
      <c r="M418" s="96">
        <f t="shared" si="404"/>
        <v>75</v>
      </c>
      <c r="N418" s="97">
        <v>4.7500000000000001E-2</v>
      </c>
      <c r="O418" s="97">
        <f t="shared" si="405"/>
        <v>1.9</v>
      </c>
      <c r="P418" s="95">
        <f t="shared" si="406"/>
        <v>142.5</v>
      </c>
      <c r="Q418" s="98">
        <f t="shared" si="407"/>
        <v>446.5</v>
      </c>
      <c r="R418" s="119"/>
    </row>
    <row r="419" spans="1:18" x14ac:dyDescent="0.3">
      <c r="A419" s="86" t="str">
        <f>IF(TRIM(H419)&lt;&gt;"",COUNTA(H$9:$H419)&amp;"","")</f>
        <v>275</v>
      </c>
      <c r="B419" s="87" t="s">
        <v>536</v>
      </c>
      <c r="C419" s="87" t="s">
        <v>536</v>
      </c>
      <c r="D419" s="88"/>
      <c r="E419" s="89" t="s">
        <v>560</v>
      </c>
      <c r="F419" s="90">
        <v>1</v>
      </c>
      <c r="H419" s="91" t="s">
        <v>239</v>
      </c>
      <c r="I419" s="92">
        <f t="shared" si="408"/>
        <v>0</v>
      </c>
      <c r="J419" s="93">
        <f t="shared" si="402"/>
        <v>1</v>
      </c>
      <c r="K419" s="94">
        <v>7.2</v>
      </c>
      <c r="L419" s="95">
        <f t="shared" si="403"/>
        <v>7.2</v>
      </c>
      <c r="M419" s="96">
        <f t="shared" si="404"/>
        <v>75</v>
      </c>
      <c r="N419" s="97">
        <v>4.4999999999999998E-2</v>
      </c>
      <c r="O419" s="97">
        <f t="shared" si="405"/>
        <v>4.4999999999999998E-2</v>
      </c>
      <c r="P419" s="95">
        <f t="shared" si="406"/>
        <v>3.375</v>
      </c>
      <c r="Q419" s="98">
        <f t="shared" si="407"/>
        <v>10.574999999999999</v>
      </c>
      <c r="R419" s="119"/>
    </row>
    <row r="420" spans="1:18" x14ac:dyDescent="0.3">
      <c r="A420" s="86" t="str">
        <f>IF(TRIM(H420)&lt;&gt;"",COUNTA(H$9:$H420)&amp;"","")</f>
        <v>276</v>
      </c>
      <c r="B420" s="87" t="s">
        <v>536</v>
      </c>
      <c r="C420" s="87" t="s">
        <v>536</v>
      </c>
      <c r="D420" s="88"/>
      <c r="E420" s="89" t="s">
        <v>561</v>
      </c>
      <c r="F420" s="90">
        <v>5</v>
      </c>
      <c r="H420" s="91" t="s">
        <v>239</v>
      </c>
      <c r="I420" s="92">
        <f t="shared" si="408"/>
        <v>0</v>
      </c>
      <c r="J420" s="93">
        <f t="shared" si="402"/>
        <v>5</v>
      </c>
      <c r="K420" s="94">
        <v>8</v>
      </c>
      <c r="L420" s="95">
        <f t="shared" si="403"/>
        <v>40</v>
      </c>
      <c r="M420" s="96">
        <f t="shared" si="404"/>
        <v>75</v>
      </c>
      <c r="N420" s="97">
        <v>0.05</v>
      </c>
      <c r="O420" s="97">
        <f t="shared" si="405"/>
        <v>0.25</v>
      </c>
      <c r="P420" s="95">
        <f t="shared" si="406"/>
        <v>18.75</v>
      </c>
      <c r="Q420" s="98">
        <f t="shared" si="407"/>
        <v>58.75</v>
      </c>
      <c r="R420" s="119"/>
    </row>
    <row r="421" spans="1:18" x14ac:dyDescent="0.3">
      <c r="A421" s="86" t="str">
        <f>IF(TRIM(H421)&lt;&gt;"",COUNTA(H$9:$H421)&amp;"","")</f>
        <v>277</v>
      </c>
      <c r="B421" s="87" t="s">
        <v>536</v>
      </c>
      <c r="C421" s="87" t="s">
        <v>536</v>
      </c>
      <c r="D421" s="88"/>
      <c r="E421" s="89" t="s">
        <v>562</v>
      </c>
      <c r="F421" s="90">
        <v>3</v>
      </c>
      <c r="H421" s="91" t="s">
        <v>239</v>
      </c>
      <c r="I421" s="92">
        <f t="shared" si="408"/>
        <v>0</v>
      </c>
      <c r="J421" s="93">
        <f t="shared" si="402"/>
        <v>3</v>
      </c>
      <c r="K421" s="94">
        <v>8.8000000000000007</v>
      </c>
      <c r="L421" s="95">
        <f t="shared" si="403"/>
        <v>26.400000000000002</v>
      </c>
      <c r="M421" s="96">
        <f t="shared" si="404"/>
        <v>75</v>
      </c>
      <c r="N421" s="97">
        <v>5.5000000000000007E-2</v>
      </c>
      <c r="O421" s="97">
        <f t="shared" si="405"/>
        <v>0.16500000000000004</v>
      </c>
      <c r="P421" s="95">
        <f t="shared" si="406"/>
        <v>12.375000000000004</v>
      </c>
      <c r="Q421" s="98">
        <f t="shared" si="407"/>
        <v>38.775000000000006</v>
      </c>
      <c r="R421" s="119"/>
    </row>
    <row r="422" spans="1:18" x14ac:dyDescent="0.3">
      <c r="A422" s="86" t="str">
        <f>IF(TRIM(H422)&lt;&gt;"",COUNTA(H$9:$H422)&amp;"","")</f>
        <v>278</v>
      </c>
      <c r="B422" s="87" t="s">
        <v>536</v>
      </c>
      <c r="C422" s="87" t="s">
        <v>536</v>
      </c>
      <c r="D422" s="88"/>
      <c r="E422" s="89" t="s">
        <v>563</v>
      </c>
      <c r="F422" s="90">
        <v>5</v>
      </c>
      <c r="H422" s="91" t="s">
        <v>239</v>
      </c>
      <c r="I422" s="92">
        <f t="shared" si="408"/>
        <v>0</v>
      </c>
      <c r="J422" s="93">
        <f t="shared" si="402"/>
        <v>5</v>
      </c>
      <c r="K422" s="94">
        <v>8</v>
      </c>
      <c r="L422" s="95">
        <f t="shared" si="403"/>
        <v>40</v>
      </c>
      <c r="M422" s="96">
        <f t="shared" si="404"/>
        <v>75</v>
      </c>
      <c r="N422" s="97">
        <v>0.05</v>
      </c>
      <c r="O422" s="97">
        <f t="shared" si="405"/>
        <v>0.25</v>
      </c>
      <c r="P422" s="95">
        <f t="shared" si="406"/>
        <v>18.75</v>
      </c>
      <c r="Q422" s="98">
        <f t="shared" si="407"/>
        <v>58.75</v>
      </c>
      <c r="R422" s="119"/>
    </row>
    <row r="423" spans="1:18" x14ac:dyDescent="0.3">
      <c r="A423" s="86" t="str">
        <f>IF(TRIM(H423)&lt;&gt;"",COUNTA(H$9:$H423)&amp;"","")</f>
        <v>279</v>
      </c>
      <c r="B423" s="87" t="s">
        <v>536</v>
      </c>
      <c r="C423" s="87" t="s">
        <v>536</v>
      </c>
      <c r="D423" s="88"/>
      <c r="E423" s="89" t="s">
        <v>564</v>
      </c>
      <c r="F423" s="90">
        <v>1</v>
      </c>
      <c r="H423" s="91" t="s">
        <v>239</v>
      </c>
      <c r="I423" s="92">
        <f t="shared" si="408"/>
        <v>0</v>
      </c>
      <c r="J423" s="93">
        <f t="shared" si="402"/>
        <v>1</v>
      </c>
      <c r="K423" s="94">
        <v>10.4</v>
      </c>
      <c r="L423" s="95">
        <f t="shared" si="403"/>
        <v>10.4</v>
      </c>
      <c r="M423" s="96">
        <f t="shared" si="404"/>
        <v>75</v>
      </c>
      <c r="N423" s="97">
        <v>6.5000000000000002E-2</v>
      </c>
      <c r="O423" s="97">
        <f t="shared" si="405"/>
        <v>6.5000000000000002E-2</v>
      </c>
      <c r="P423" s="95">
        <f t="shared" si="406"/>
        <v>4.875</v>
      </c>
      <c r="Q423" s="98">
        <f t="shared" si="407"/>
        <v>15.275</v>
      </c>
      <c r="R423" s="119"/>
    </row>
    <row r="424" spans="1:18" x14ac:dyDescent="0.3">
      <c r="A424" s="86" t="str">
        <f>IF(TRIM(H424)&lt;&gt;"",COUNTA(H$9:$H424)&amp;"","")</f>
        <v>280</v>
      </c>
      <c r="B424" s="87" t="s">
        <v>536</v>
      </c>
      <c r="C424" s="87" t="s">
        <v>536</v>
      </c>
      <c r="D424" s="88"/>
      <c r="E424" s="89" t="s">
        <v>565</v>
      </c>
      <c r="F424" s="90">
        <v>6</v>
      </c>
      <c r="H424" s="91" t="s">
        <v>239</v>
      </c>
      <c r="I424" s="92">
        <f t="shared" si="408"/>
        <v>0</v>
      </c>
      <c r="J424" s="93">
        <f t="shared" si="402"/>
        <v>6</v>
      </c>
      <c r="K424" s="94">
        <v>9.4</v>
      </c>
      <c r="L424" s="95">
        <f t="shared" si="403"/>
        <v>56.400000000000006</v>
      </c>
      <c r="M424" s="96">
        <f t="shared" si="404"/>
        <v>75</v>
      </c>
      <c r="N424" s="97">
        <v>5.8750000000000004E-2</v>
      </c>
      <c r="O424" s="97">
        <f t="shared" si="405"/>
        <v>0.35250000000000004</v>
      </c>
      <c r="P424" s="95">
        <f t="shared" si="406"/>
        <v>26.437500000000004</v>
      </c>
      <c r="Q424" s="98">
        <f t="shared" si="407"/>
        <v>82.837500000000006</v>
      </c>
      <c r="R424" s="119"/>
    </row>
    <row r="425" spans="1:18" x14ac:dyDescent="0.3">
      <c r="A425" s="86" t="str">
        <f>IF(TRIM(H425)&lt;&gt;"",COUNTA(H$9:$H425)&amp;"","")</f>
        <v>281</v>
      </c>
      <c r="B425" s="87" t="s">
        <v>536</v>
      </c>
      <c r="C425" s="87" t="s">
        <v>536</v>
      </c>
      <c r="D425" s="88"/>
      <c r="E425" s="89" t="s">
        <v>566</v>
      </c>
      <c r="F425" s="90">
        <v>3</v>
      </c>
      <c r="H425" s="91" t="s">
        <v>239</v>
      </c>
      <c r="I425" s="92">
        <f t="shared" si="408"/>
        <v>0</v>
      </c>
      <c r="J425" s="93">
        <f t="shared" si="402"/>
        <v>3</v>
      </c>
      <c r="K425" s="94">
        <v>9.6</v>
      </c>
      <c r="L425" s="95">
        <f t="shared" si="403"/>
        <v>28.799999999999997</v>
      </c>
      <c r="M425" s="96">
        <f t="shared" si="404"/>
        <v>75</v>
      </c>
      <c r="N425" s="97">
        <v>6.0000000000000012E-2</v>
      </c>
      <c r="O425" s="97">
        <f t="shared" si="405"/>
        <v>0.18000000000000005</v>
      </c>
      <c r="P425" s="95">
        <f t="shared" si="406"/>
        <v>13.500000000000004</v>
      </c>
      <c r="Q425" s="98">
        <f t="shared" si="407"/>
        <v>42.3</v>
      </c>
      <c r="R425" s="119"/>
    </row>
    <row r="426" spans="1:18" x14ac:dyDescent="0.3">
      <c r="A426" s="86" t="str">
        <f>IF(TRIM(H426)&lt;&gt;"",COUNTA(H$9:$H426)&amp;"","")</f>
        <v>282</v>
      </c>
      <c r="B426" s="87" t="s">
        <v>536</v>
      </c>
      <c r="C426" s="87" t="s">
        <v>536</v>
      </c>
      <c r="D426" s="88"/>
      <c r="E426" s="89" t="s">
        <v>567</v>
      </c>
      <c r="F426" s="90">
        <v>2</v>
      </c>
      <c r="H426" s="91" t="s">
        <v>239</v>
      </c>
      <c r="I426" s="92">
        <f t="shared" si="408"/>
        <v>0</v>
      </c>
      <c r="J426" s="93">
        <f t="shared" si="402"/>
        <v>2</v>
      </c>
      <c r="K426" s="94">
        <v>8.6</v>
      </c>
      <c r="L426" s="95">
        <f t="shared" si="403"/>
        <v>17.2</v>
      </c>
      <c r="M426" s="96">
        <f t="shared" si="404"/>
        <v>75</v>
      </c>
      <c r="N426" s="97">
        <v>5.3749999999999999E-2</v>
      </c>
      <c r="O426" s="97">
        <f t="shared" si="405"/>
        <v>0.1075</v>
      </c>
      <c r="P426" s="95">
        <f t="shared" si="406"/>
        <v>8.0625</v>
      </c>
      <c r="Q426" s="98">
        <f t="shared" si="407"/>
        <v>25.262499999999999</v>
      </c>
      <c r="R426" s="119"/>
    </row>
    <row r="427" spans="1:18" x14ac:dyDescent="0.3">
      <c r="A427" s="86" t="str">
        <f>IF(TRIM(H427)&lt;&gt;"",COUNTA(H$9:$H427)&amp;"","")</f>
        <v>283</v>
      </c>
      <c r="B427" s="87" t="s">
        <v>536</v>
      </c>
      <c r="C427" s="87" t="s">
        <v>536</v>
      </c>
      <c r="D427" s="88"/>
      <c r="E427" s="89" t="s">
        <v>568</v>
      </c>
      <c r="F427" s="90">
        <v>2</v>
      </c>
      <c r="H427" s="91" t="s">
        <v>239</v>
      </c>
      <c r="I427" s="92">
        <f t="shared" si="408"/>
        <v>0</v>
      </c>
      <c r="J427" s="93">
        <f t="shared" si="402"/>
        <v>2</v>
      </c>
      <c r="K427" s="94">
        <v>9</v>
      </c>
      <c r="L427" s="95">
        <f t="shared" si="403"/>
        <v>18</v>
      </c>
      <c r="M427" s="96">
        <f t="shared" si="404"/>
        <v>75</v>
      </c>
      <c r="N427" s="97">
        <v>5.6250000000000001E-2</v>
      </c>
      <c r="O427" s="97">
        <f t="shared" si="405"/>
        <v>0.1125</v>
      </c>
      <c r="P427" s="95">
        <f t="shared" si="406"/>
        <v>8.4375</v>
      </c>
      <c r="Q427" s="98">
        <f t="shared" si="407"/>
        <v>26.4375</v>
      </c>
      <c r="R427" s="119"/>
    </row>
    <row r="428" spans="1:18" x14ac:dyDescent="0.3">
      <c r="A428" s="86" t="str">
        <f>IF(TRIM(H428)&lt;&gt;"",COUNTA(H$9:$H428)&amp;"","")</f>
        <v>284</v>
      </c>
      <c r="B428" s="87" t="s">
        <v>536</v>
      </c>
      <c r="C428" s="87" t="s">
        <v>536</v>
      </c>
      <c r="D428" s="88"/>
      <c r="E428" s="89" t="s">
        <v>569</v>
      </c>
      <c r="F428" s="90">
        <v>3</v>
      </c>
      <c r="H428" s="91" t="s">
        <v>239</v>
      </c>
      <c r="I428" s="92">
        <f t="shared" si="408"/>
        <v>0</v>
      </c>
      <c r="J428" s="93">
        <f t="shared" si="402"/>
        <v>3</v>
      </c>
      <c r="K428" s="94">
        <v>7.6</v>
      </c>
      <c r="L428" s="95">
        <f t="shared" si="403"/>
        <v>22.799999999999997</v>
      </c>
      <c r="M428" s="96">
        <f t="shared" si="404"/>
        <v>75</v>
      </c>
      <c r="N428" s="97">
        <v>4.7500000000000001E-2</v>
      </c>
      <c r="O428" s="97">
        <f t="shared" si="405"/>
        <v>0.14250000000000002</v>
      </c>
      <c r="P428" s="95">
        <f t="shared" si="406"/>
        <v>10.687500000000002</v>
      </c>
      <c r="Q428" s="98">
        <f t="shared" si="407"/>
        <v>33.487499999999997</v>
      </c>
      <c r="R428" s="119"/>
    </row>
    <row r="429" spans="1:18" x14ac:dyDescent="0.3">
      <c r="A429" s="86" t="str">
        <f>IF(TRIM(H429)&lt;&gt;"",COUNTA(H$9:$H429)&amp;"","")</f>
        <v>285</v>
      </c>
      <c r="B429" s="87" t="s">
        <v>536</v>
      </c>
      <c r="C429" s="87" t="s">
        <v>536</v>
      </c>
      <c r="D429" s="88"/>
      <c r="E429" s="89" t="s">
        <v>570</v>
      </c>
      <c r="F429" s="90">
        <v>8</v>
      </c>
      <c r="H429" s="91" t="s">
        <v>239</v>
      </c>
      <c r="I429" s="92">
        <f t="shared" si="408"/>
        <v>0</v>
      </c>
      <c r="J429" s="93">
        <f t="shared" si="402"/>
        <v>8</v>
      </c>
      <c r="K429" s="94">
        <v>7.2</v>
      </c>
      <c r="L429" s="95">
        <f t="shared" si="403"/>
        <v>57.6</v>
      </c>
      <c r="M429" s="96">
        <f t="shared" si="404"/>
        <v>75</v>
      </c>
      <c r="N429" s="97">
        <v>4.4999999999999998E-2</v>
      </c>
      <c r="O429" s="97">
        <f t="shared" si="405"/>
        <v>0.36</v>
      </c>
      <c r="P429" s="95">
        <f t="shared" si="406"/>
        <v>27</v>
      </c>
      <c r="Q429" s="98">
        <f t="shared" si="407"/>
        <v>84.6</v>
      </c>
      <c r="R429" s="119"/>
    </row>
    <row r="430" spans="1:18" x14ac:dyDescent="0.3">
      <c r="A430" s="86" t="str">
        <f>IF(TRIM(H430)&lt;&gt;"",COUNTA(H$9:$H430)&amp;"","")</f>
        <v/>
      </c>
      <c r="B430" s="87"/>
      <c r="C430" s="87"/>
      <c r="D430" s="88"/>
      <c r="E430" s="89" t="s">
        <v>549</v>
      </c>
      <c r="F430" s="90"/>
      <c r="H430" s="91"/>
      <c r="I430" s="92" t="str">
        <f t="shared" si="408"/>
        <v/>
      </c>
      <c r="J430" s="93" t="str">
        <f t="shared" si="402"/>
        <v/>
      </c>
      <c r="K430" s="94" t="s">
        <v>549</v>
      </c>
      <c r="L430" s="95" t="str">
        <f t="shared" si="403"/>
        <v/>
      </c>
      <c r="M430" s="96" t="str">
        <f t="shared" si="404"/>
        <v/>
      </c>
      <c r="N430" s="97" t="s">
        <v>549</v>
      </c>
      <c r="O430" s="97" t="str">
        <f t="shared" si="405"/>
        <v/>
      </c>
      <c r="P430" s="95" t="str">
        <f t="shared" si="406"/>
        <v/>
      </c>
      <c r="Q430" s="98" t="str">
        <f t="shared" si="407"/>
        <v/>
      </c>
      <c r="R430" s="119"/>
    </row>
    <row r="431" spans="1:18" x14ac:dyDescent="0.3">
      <c r="A431" s="86" t="str">
        <f>IF(TRIM(H431)&lt;&gt;"",COUNTA(H$9:$H431)&amp;"","")</f>
        <v/>
      </c>
      <c r="B431" s="87"/>
      <c r="C431" s="87"/>
      <c r="D431" s="88"/>
      <c r="E431" s="125" t="s">
        <v>571</v>
      </c>
      <c r="F431" s="90"/>
      <c r="H431" s="91"/>
      <c r="I431" s="92" t="str">
        <f t="shared" si="408"/>
        <v/>
      </c>
      <c r="J431" s="93" t="str">
        <f t="shared" si="402"/>
        <v/>
      </c>
      <c r="K431" s="94" t="s">
        <v>549</v>
      </c>
      <c r="L431" s="95" t="str">
        <f t="shared" si="403"/>
        <v/>
      </c>
      <c r="M431" s="96" t="str">
        <f t="shared" si="404"/>
        <v/>
      </c>
      <c r="N431" s="97" t="s">
        <v>549</v>
      </c>
      <c r="O431" s="97" t="str">
        <f t="shared" si="405"/>
        <v/>
      </c>
      <c r="P431" s="95" t="str">
        <f t="shared" si="406"/>
        <v/>
      </c>
      <c r="Q431" s="98" t="str">
        <f t="shared" si="407"/>
        <v/>
      </c>
      <c r="R431" s="119"/>
    </row>
    <row r="432" spans="1:18" x14ac:dyDescent="0.3">
      <c r="A432" s="86" t="str">
        <f>IF(TRIM(H432)&lt;&gt;"",COUNTA(H$9:$H432)&amp;"","")</f>
        <v>286</v>
      </c>
      <c r="B432" s="87" t="s">
        <v>536</v>
      </c>
      <c r="C432" s="87" t="s">
        <v>536</v>
      </c>
      <c r="D432" s="88"/>
      <c r="E432" s="89" t="s">
        <v>572</v>
      </c>
      <c r="F432" s="90">
        <v>12</v>
      </c>
      <c r="H432" s="91" t="s">
        <v>239</v>
      </c>
      <c r="I432" s="92">
        <f t="shared" si="408"/>
        <v>0</v>
      </c>
      <c r="J432" s="93">
        <f t="shared" si="402"/>
        <v>12</v>
      </c>
      <c r="K432" s="94">
        <v>100</v>
      </c>
      <c r="L432" s="95">
        <f t="shared" si="403"/>
        <v>1200</v>
      </c>
      <c r="M432" s="96">
        <f t="shared" si="404"/>
        <v>75</v>
      </c>
      <c r="N432" s="97">
        <v>0.625</v>
      </c>
      <c r="O432" s="97">
        <f t="shared" si="405"/>
        <v>7.5</v>
      </c>
      <c r="P432" s="95">
        <f t="shared" si="406"/>
        <v>562.5</v>
      </c>
      <c r="Q432" s="98">
        <f t="shared" si="407"/>
        <v>1762.5</v>
      </c>
      <c r="R432" s="119"/>
    </row>
    <row r="433" spans="1:18" x14ac:dyDescent="0.3">
      <c r="A433" s="86" t="str">
        <f>IF(TRIM(H433)&lt;&gt;"",COUNTA(H$9:$H433)&amp;"","")</f>
        <v>287</v>
      </c>
      <c r="B433" s="87" t="s">
        <v>536</v>
      </c>
      <c r="C433" s="87" t="s">
        <v>536</v>
      </c>
      <c r="D433" s="88"/>
      <c r="E433" s="89" t="s">
        <v>573</v>
      </c>
      <c r="F433" s="90">
        <v>2</v>
      </c>
      <c r="H433" s="91" t="s">
        <v>239</v>
      </c>
      <c r="I433" s="92">
        <f t="shared" si="408"/>
        <v>0</v>
      </c>
      <c r="J433" s="93">
        <f t="shared" si="402"/>
        <v>2</v>
      </c>
      <c r="K433" s="94">
        <v>116</v>
      </c>
      <c r="L433" s="95">
        <f t="shared" si="403"/>
        <v>232</v>
      </c>
      <c r="M433" s="96">
        <f t="shared" si="404"/>
        <v>75</v>
      </c>
      <c r="N433" s="97">
        <v>0.72499999999999998</v>
      </c>
      <c r="O433" s="97">
        <f t="shared" si="405"/>
        <v>1.45</v>
      </c>
      <c r="P433" s="95">
        <f t="shared" si="406"/>
        <v>108.75</v>
      </c>
      <c r="Q433" s="98">
        <f t="shared" si="407"/>
        <v>340.75</v>
      </c>
      <c r="R433" s="119"/>
    </row>
    <row r="434" spans="1:18" x14ac:dyDescent="0.3">
      <c r="A434" s="86" t="str">
        <f>IF(TRIM(H434)&lt;&gt;"",COUNTA(H$9:$H434)&amp;"","")</f>
        <v>288</v>
      </c>
      <c r="B434" s="87" t="s">
        <v>536</v>
      </c>
      <c r="C434" s="87" t="s">
        <v>536</v>
      </c>
      <c r="D434" s="88"/>
      <c r="E434" s="89" t="s">
        <v>574</v>
      </c>
      <c r="F434" s="90">
        <v>2</v>
      </c>
      <c r="H434" s="91" t="s">
        <v>239</v>
      </c>
      <c r="I434" s="92">
        <f t="shared" si="408"/>
        <v>0</v>
      </c>
      <c r="J434" s="93">
        <f t="shared" si="402"/>
        <v>2</v>
      </c>
      <c r="K434" s="94">
        <v>140</v>
      </c>
      <c r="L434" s="95">
        <f t="shared" si="403"/>
        <v>280</v>
      </c>
      <c r="M434" s="96">
        <f t="shared" si="404"/>
        <v>75</v>
      </c>
      <c r="N434" s="97">
        <v>0.875</v>
      </c>
      <c r="O434" s="97">
        <f t="shared" si="405"/>
        <v>1.75</v>
      </c>
      <c r="P434" s="95">
        <f t="shared" si="406"/>
        <v>131.25</v>
      </c>
      <c r="Q434" s="98">
        <f t="shared" si="407"/>
        <v>411.25</v>
      </c>
      <c r="R434" s="119"/>
    </row>
    <row r="435" spans="1:18" x14ac:dyDescent="0.3">
      <c r="A435" s="86" t="str">
        <f>IF(TRIM(H435)&lt;&gt;"",COUNTA(H$9:$H435)&amp;"","")</f>
        <v>289</v>
      </c>
      <c r="B435" s="87" t="s">
        <v>536</v>
      </c>
      <c r="C435" s="87" t="s">
        <v>536</v>
      </c>
      <c r="D435" s="88"/>
      <c r="E435" s="89" t="s">
        <v>575</v>
      </c>
      <c r="F435" s="90">
        <v>4</v>
      </c>
      <c r="H435" s="91" t="s">
        <v>239</v>
      </c>
      <c r="I435" s="92">
        <f t="shared" si="408"/>
        <v>0</v>
      </c>
      <c r="J435" s="93">
        <f t="shared" si="402"/>
        <v>4</v>
      </c>
      <c r="K435" s="94">
        <v>132</v>
      </c>
      <c r="L435" s="95">
        <f t="shared" si="403"/>
        <v>528</v>
      </c>
      <c r="M435" s="96">
        <f t="shared" si="404"/>
        <v>75</v>
      </c>
      <c r="N435" s="97">
        <v>0.82499999999999996</v>
      </c>
      <c r="O435" s="97">
        <f t="shared" si="405"/>
        <v>3.3</v>
      </c>
      <c r="P435" s="95">
        <f t="shared" si="406"/>
        <v>247.5</v>
      </c>
      <c r="Q435" s="98">
        <f t="shared" si="407"/>
        <v>775.5</v>
      </c>
      <c r="R435" s="119"/>
    </row>
    <row r="436" spans="1:18" x14ac:dyDescent="0.3">
      <c r="A436" s="86" t="str">
        <f>IF(TRIM(H436)&lt;&gt;"",COUNTA(H$9:$H436)&amp;"","")</f>
        <v>290</v>
      </c>
      <c r="B436" s="87" t="s">
        <v>536</v>
      </c>
      <c r="C436" s="87" t="s">
        <v>536</v>
      </c>
      <c r="D436" s="88"/>
      <c r="E436" s="89" t="s">
        <v>576</v>
      </c>
      <c r="F436" s="90">
        <v>2</v>
      </c>
      <c r="H436" s="91" t="s">
        <v>239</v>
      </c>
      <c r="I436" s="92">
        <f t="shared" si="408"/>
        <v>0</v>
      </c>
      <c r="J436" s="93">
        <f t="shared" si="402"/>
        <v>2</v>
      </c>
      <c r="K436" s="94">
        <v>125</v>
      </c>
      <c r="L436" s="95">
        <f t="shared" si="403"/>
        <v>250</v>
      </c>
      <c r="M436" s="96">
        <f t="shared" si="404"/>
        <v>75</v>
      </c>
      <c r="N436" s="97">
        <v>0.78125</v>
      </c>
      <c r="O436" s="97">
        <f t="shared" si="405"/>
        <v>1.5625</v>
      </c>
      <c r="P436" s="95">
        <f t="shared" si="406"/>
        <v>117.1875</v>
      </c>
      <c r="Q436" s="98">
        <f t="shared" si="407"/>
        <v>367.1875</v>
      </c>
      <c r="R436" s="119"/>
    </row>
    <row r="437" spans="1:18" x14ac:dyDescent="0.3">
      <c r="A437" s="86" t="str">
        <f>IF(TRIM(H437)&lt;&gt;"",COUNTA(H$9:$H437)&amp;"","")</f>
        <v>291</v>
      </c>
      <c r="B437" s="87" t="s">
        <v>536</v>
      </c>
      <c r="C437" s="87" t="s">
        <v>536</v>
      </c>
      <c r="D437" s="88"/>
      <c r="E437" s="89" t="s">
        <v>577</v>
      </c>
      <c r="F437" s="90">
        <v>6</v>
      </c>
      <c r="H437" s="91" t="s">
        <v>239</v>
      </c>
      <c r="I437" s="92">
        <f t="shared" si="408"/>
        <v>0</v>
      </c>
      <c r="J437" s="93">
        <f t="shared" si="402"/>
        <v>6</v>
      </c>
      <c r="K437" s="94">
        <v>68</v>
      </c>
      <c r="L437" s="95">
        <f t="shared" si="403"/>
        <v>408</v>
      </c>
      <c r="M437" s="96">
        <f t="shared" si="404"/>
        <v>75</v>
      </c>
      <c r="N437" s="97">
        <v>0.42499999999999999</v>
      </c>
      <c r="O437" s="97">
        <f t="shared" si="405"/>
        <v>2.5499999999999998</v>
      </c>
      <c r="P437" s="95">
        <f t="shared" si="406"/>
        <v>191.25</v>
      </c>
      <c r="Q437" s="98">
        <f t="shared" si="407"/>
        <v>599.25</v>
      </c>
      <c r="R437" s="119"/>
    </row>
    <row r="438" spans="1:18" x14ac:dyDescent="0.3">
      <c r="A438" s="86" t="str">
        <f>IF(TRIM(H438)&lt;&gt;"",COUNTA(H$9:$H438)&amp;"","")</f>
        <v>292</v>
      </c>
      <c r="B438" s="87" t="s">
        <v>536</v>
      </c>
      <c r="C438" s="87" t="s">
        <v>536</v>
      </c>
      <c r="D438" s="88"/>
      <c r="E438" s="89" t="s">
        <v>578</v>
      </c>
      <c r="F438" s="90">
        <v>3</v>
      </c>
      <c r="H438" s="91" t="s">
        <v>239</v>
      </c>
      <c r="I438" s="92">
        <f t="shared" si="408"/>
        <v>0</v>
      </c>
      <c r="J438" s="93">
        <f t="shared" si="402"/>
        <v>3</v>
      </c>
      <c r="K438" s="94">
        <v>120</v>
      </c>
      <c r="L438" s="95">
        <f t="shared" si="403"/>
        <v>360</v>
      </c>
      <c r="M438" s="96">
        <f t="shared" si="404"/>
        <v>75</v>
      </c>
      <c r="N438" s="97">
        <v>0.75</v>
      </c>
      <c r="O438" s="97">
        <f t="shared" si="405"/>
        <v>2.25</v>
      </c>
      <c r="P438" s="95">
        <f t="shared" si="406"/>
        <v>168.75</v>
      </c>
      <c r="Q438" s="98">
        <f t="shared" si="407"/>
        <v>528.75</v>
      </c>
      <c r="R438" s="119"/>
    </row>
    <row r="439" spans="1:18" x14ac:dyDescent="0.3">
      <c r="A439" s="86" t="str">
        <f>IF(TRIM(H439)&lt;&gt;"",COUNTA(H$9:$H439)&amp;"","")</f>
        <v>293</v>
      </c>
      <c r="B439" s="87" t="s">
        <v>536</v>
      </c>
      <c r="C439" s="87" t="s">
        <v>536</v>
      </c>
      <c r="D439" s="88"/>
      <c r="E439" s="89" t="s">
        <v>579</v>
      </c>
      <c r="F439" s="90">
        <v>2</v>
      </c>
      <c r="H439" s="91" t="s">
        <v>239</v>
      </c>
      <c r="I439" s="92">
        <f t="shared" si="408"/>
        <v>0</v>
      </c>
      <c r="J439" s="93">
        <f t="shared" si="402"/>
        <v>2</v>
      </c>
      <c r="K439" s="94">
        <v>758</v>
      </c>
      <c r="L439" s="95">
        <f t="shared" si="403"/>
        <v>1516</v>
      </c>
      <c r="M439" s="96">
        <f t="shared" si="404"/>
        <v>75</v>
      </c>
      <c r="N439" s="97">
        <v>4.7374999999999998</v>
      </c>
      <c r="O439" s="97">
        <f t="shared" si="405"/>
        <v>9.4749999999999996</v>
      </c>
      <c r="P439" s="95">
        <f t="shared" si="406"/>
        <v>710.625</v>
      </c>
      <c r="Q439" s="98">
        <f t="shared" si="407"/>
        <v>2226.625</v>
      </c>
      <c r="R439" s="119"/>
    </row>
    <row r="440" spans="1:18" x14ac:dyDescent="0.3">
      <c r="A440" s="86" t="str">
        <f>IF(TRIM(H440)&lt;&gt;"",COUNTA(H$9:$H440)&amp;"","")</f>
        <v>294</v>
      </c>
      <c r="B440" s="87" t="s">
        <v>536</v>
      </c>
      <c r="C440" s="87" t="s">
        <v>536</v>
      </c>
      <c r="D440" s="88"/>
      <c r="E440" s="89" t="s">
        <v>572</v>
      </c>
      <c r="F440" s="90">
        <v>1</v>
      </c>
      <c r="H440" s="91" t="s">
        <v>239</v>
      </c>
      <c r="I440" s="92">
        <f t="shared" si="408"/>
        <v>0</v>
      </c>
      <c r="J440" s="93">
        <f t="shared" si="402"/>
        <v>1</v>
      </c>
      <c r="K440" s="94">
        <v>100</v>
      </c>
      <c r="L440" s="95">
        <f t="shared" si="403"/>
        <v>100</v>
      </c>
      <c r="M440" s="96">
        <f t="shared" si="404"/>
        <v>75</v>
      </c>
      <c r="N440" s="97">
        <v>0.625</v>
      </c>
      <c r="O440" s="97">
        <f t="shared" si="405"/>
        <v>0.625</v>
      </c>
      <c r="P440" s="95">
        <f t="shared" si="406"/>
        <v>46.875</v>
      </c>
      <c r="Q440" s="98">
        <f t="shared" si="407"/>
        <v>146.875</v>
      </c>
      <c r="R440" s="119"/>
    </row>
    <row r="441" spans="1:18" x14ac:dyDescent="0.3">
      <c r="A441" s="86" t="str">
        <f>IF(TRIM(H441)&lt;&gt;"",COUNTA(H$9:$H441)&amp;"","")</f>
        <v>295</v>
      </c>
      <c r="B441" s="87" t="s">
        <v>536</v>
      </c>
      <c r="C441" s="87" t="s">
        <v>536</v>
      </c>
      <c r="D441" s="88"/>
      <c r="E441" s="89" t="s">
        <v>580</v>
      </c>
      <c r="F441" s="90">
        <v>3</v>
      </c>
      <c r="H441" s="91" t="s">
        <v>239</v>
      </c>
      <c r="I441" s="92">
        <f t="shared" si="408"/>
        <v>0</v>
      </c>
      <c r="J441" s="93">
        <f t="shared" si="402"/>
        <v>3</v>
      </c>
      <c r="K441" s="94">
        <v>80</v>
      </c>
      <c r="L441" s="95">
        <f t="shared" si="403"/>
        <v>240</v>
      </c>
      <c r="M441" s="96">
        <f t="shared" si="404"/>
        <v>75</v>
      </c>
      <c r="N441" s="97">
        <v>0.5</v>
      </c>
      <c r="O441" s="97">
        <f t="shared" si="405"/>
        <v>1.5</v>
      </c>
      <c r="P441" s="95">
        <f t="shared" si="406"/>
        <v>112.5</v>
      </c>
      <c r="Q441" s="98">
        <f t="shared" si="407"/>
        <v>352.5</v>
      </c>
      <c r="R441" s="119"/>
    </row>
    <row r="442" spans="1:18" x14ac:dyDescent="0.3">
      <c r="A442" s="86" t="str">
        <f>IF(TRIM(H442)&lt;&gt;"",COUNTA(H$9:$H442)&amp;"","")</f>
        <v>296</v>
      </c>
      <c r="B442" s="87" t="s">
        <v>536</v>
      </c>
      <c r="C442" s="87" t="s">
        <v>536</v>
      </c>
      <c r="D442" s="88"/>
      <c r="E442" s="89" t="s">
        <v>581</v>
      </c>
      <c r="F442" s="90">
        <v>8</v>
      </c>
      <c r="H442" s="91" t="s">
        <v>239</v>
      </c>
      <c r="I442" s="92">
        <f t="shared" si="408"/>
        <v>0</v>
      </c>
      <c r="J442" s="93">
        <f t="shared" si="402"/>
        <v>8</v>
      </c>
      <c r="K442" s="94">
        <v>52</v>
      </c>
      <c r="L442" s="95">
        <f t="shared" si="403"/>
        <v>416</v>
      </c>
      <c r="M442" s="96">
        <f t="shared" si="404"/>
        <v>75</v>
      </c>
      <c r="N442" s="97">
        <v>0.32500000000000001</v>
      </c>
      <c r="O442" s="97">
        <f t="shared" si="405"/>
        <v>2.6</v>
      </c>
      <c r="P442" s="95">
        <f t="shared" si="406"/>
        <v>195</v>
      </c>
      <c r="Q442" s="98">
        <f t="shared" si="407"/>
        <v>611</v>
      </c>
      <c r="R442" s="119"/>
    </row>
    <row r="443" spans="1:18" ht="27.6" x14ac:dyDescent="0.3">
      <c r="A443" s="86" t="str">
        <f>IF(TRIM(H443)&lt;&gt;"",COUNTA(H$9:$H443)&amp;"","")</f>
        <v>297</v>
      </c>
      <c r="B443" s="87" t="s">
        <v>536</v>
      </c>
      <c r="C443" s="87" t="s">
        <v>536</v>
      </c>
      <c r="D443" s="88"/>
      <c r="E443" s="89" t="s">
        <v>582</v>
      </c>
      <c r="F443" s="90">
        <v>6</v>
      </c>
      <c r="H443" s="91" t="s">
        <v>239</v>
      </c>
      <c r="I443" s="92">
        <f t="shared" si="408"/>
        <v>0</v>
      </c>
      <c r="J443" s="93">
        <f t="shared" si="402"/>
        <v>6</v>
      </c>
      <c r="K443" s="94">
        <v>285</v>
      </c>
      <c r="L443" s="95">
        <f t="shared" si="403"/>
        <v>1710</v>
      </c>
      <c r="M443" s="96">
        <f t="shared" si="404"/>
        <v>75</v>
      </c>
      <c r="N443" s="97">
        <v>1.78125</v>
      </c>
      <c r="O443" s="97">
        <f t="shared" si="405"/>
        <v>10.6875</v>
      </c>
      <c r="P443" s="95">
        <f t="shared" si="406"/>
        <v>801.5625</v>
      </c>
      <c r="Q443" s="98">
        <f t="shared" si="407"/>
        <v>2511.5625</v>
      </c>
      <c r="R443" s="119"/>
    </row>
    <row r="444" spans="1:18" x14ac:dyDescent="0.3">
      <c r="A444" s="86" t="str">
        <f>IF(TRIM(H444)&lt;&gt;"",COUNTA(H$9:$H444)&amp;"","")</f>
        <v>298</v>
      </c>
      <c r="B444" s="87" t="s">
        <v>536</v>
      </c>
      <c r="C444" s="87" t="s">
        <v>536</v>
      </c>
      <c r="D444" s="88"/>
      <c r="E444" s="89" t="s">
        <v>575</v>
      </c>
      <c r="F444" s="90">
        <v>7</v>
      </c>
      <c r="H444" s="91" t="s">
        <v>239</v>
      </c>
      <c r="I444" s="92">
        <f t="shared" si="408"/>
        <v>0</v>
      </c>
      <c r="J444" s="93">
        <f t="shared" si="402"/>
        <v>7</v>
      </c>
      <c r="K444" s="94">
        <v>132</v>
      </c>
      <c r="L444" s="95">
        <f t="shared" si="403"/>
        <v>924</v>
      </c>
      <c r="M444" s="96">
        <f t="shared" si="404"/>
        <v>75</v>
      </c>
      <c r="N444" s="97">
        <v>0.82499999999999996</v>
      </c>
      <c r="O444" s="97">
        <f t="shared" si="405"/>
        <v>5.7749999999999995</v>
      </c>
      <c r="P444" s="95">
        <f t="shared" si="406"/>
        <v>433.12499999999994</v>
      </c>
      <c r="Q444" s="98">
        <f t="shared" si="407"/>
        <v>1357.125</v>
      </c>
      <c r="R444" s="119"/>
    </row>
    <row r="445" spans="1:18" x14ac:dyDescent="0.3">
      <c r="A445" s="86" t="str">
        <f>IF(TRIM(H445)&lt;&gt;"",COUNTA(H$9:$H445)&amp;"","")</f>
        <v>299</v>
      </c>
      <c r="B445" s="87" t="s">
        <v>536</v>
      </c>
      <c r="C445" s="87" t="s">
        <v>536</v>
      </c>
      <c r="D445" s="88"/>
      <c r="E445" s="89" t="s">
        <v>583</v>
      </c>
      <c r="F445" s="90">
        <v>9</v>
      </c>
      <c r="H445" s="91" t="s">
        <v>239</v>
      </c>
      <c r="I445" s="92">
        <f t="shared" si="408"/>
        <v>0</v>
      </c>
      <c r="J445" s="93">
        <f t="shared" si="402"/>
        <v>9</v>
      </c>
      <c r="K445" s="94">
        <v>60</v>
      </c>
      <c r="L445" s="95">
        <f t="shared" si="403"/>
        <v>540</v>
      </c>
      <c r="M445" s="96">
        <f t="shared" si="404"/>
        <v>75</v>
      </c>
      <c r="N445" s="97">
        <v>0.375</v>
      </c>
      <c r="O445" s="97">
        <f t="shared" si="405"/>
        <v>3.375</v>
      </c>
      <c r="P445" s="95">
        <f t="shared" si="406"/>
        <v>253.125</v>
      </c>
      <c r="Q445" s="98">
        <f t="shared" si="407"/>
        <v>793.125</v>
      </c>
      <c r="R445" s="119"/>
    </row>
    <row r="446" spans="1:18" ht="27.6" x14ac:dyDescent="0.3">
      <c r="A446" s="86" t="str">
        <f>IF(TRIM(H446)&lt;&gt;"",COUNTA(H$9:$H446)&amp;"","")</f>
        <v>300</v>
      </c>
      <c r="B446" s="87" t="s">
        <v>536</v>
      </c>
      <c r="C446" s="87" t="s">
        <v>536</v>
      </c>
      <c r="D446" s="88"/>
      <c r="E446" s="89" t="s">
        <v>584</v>
      </c>
      <c r="F446" s="90">
        <v>2</v>
      </c>
      <c r="H446" s="91" t="s">
        <v>239</v>
      </c>
      <c r="I446" s="92">
        <f t="shared" si="408"/>
        <v>0</v>
      </c>
      <c r="J446" s="93">
        <f t="shared" si="402"/>
        <v>2</v>
      </c>
      <c r="K446" s="94">
        <v>450</v>
      </c>
      <c r="L446" s="95">
        <f t="shared" si="403"/>
        <v>900</v>
      </c>
      <c r="M446" s="96">
        <f t="shared" si="404"/>
        <v>75</v>
      </c>
      <c r="N446" s="97">
        <v>2.8125</v>
      </c>
      <c r="O446" s="97">
        <f t="shared" si="405"/>
        <v>5.625</v>
      </c>
      <c r="P446" s="95">
        <f t="shared" si="406"/>
        <v>421.875</v>
      </c>
      <c r="Q446" s="98">
        <f t="shared" si="407"/>
        <v>1321.875</v>
      </c>
      <c r="R446" s="119"/>
    </row>
    <row r="447" spans="1:18" x14ac:dyDescent="0.3">
      <c r="A447" s="86" t="str">
        <f>IF(TRIM(H447)&lt;&gt;"",COUNTA(H$9:$H447)&amp;"","")</f>
        <v>301</v>
      </c>
      <c r="B447" s="87" t="s">
        <v>536</v>
      </c>
      <c r="C447" s="87" t="s">
        <v>536</v>
      </c>
      <c r="D447" s="88"/>
      <c r="E447" s="89" t="s">
        <v>585</v>
      </c>
      <c r="F447" s="90">
        <v>7</v>
      </c>
      <c r="H447" s="91" t="s">
        <v>239</v>
      </c>
      <c r="I447" s="92">
        <f t="shared" si="408"/>
        <v>0</v>
      </c>
      <c r="J447" s="93">
        <f t="shared" si="402"/>
        <v>7</v>
      </c>
      <c r="K447" s="94">
        <v>180</v>
      </c>
      <c r="L447" s="95">
        <f t="shared" si="403"/>
        <v>1260</v>
      </c>
      <c r="M447" s="96">
        <f t="shared" si="404"/>
        <v>75</v>
      </c>
      <c r="N447" s="97">
        <v>1.125</v>
      </c>
      <c r="O447" s="97">
        <f t="shared" si="405"/>
        <v>7.875</v>
      </c>
      <c r="P447" s="95">
        <f t="shared" si="406"/>
        <v>590.625</v>
      </c>
      <c r="Q447" s="98">
        <f t="shared" si="407"/>
        <v>1850.625</v>
      </c>
      <c r="R447" s="119"/>
    </row>
    <row r="448" spans="1:18" x14ac:dyDescent="0.3">
      <c r="A448" s="86" t="str">
        <f>IF(TRIM(H448)&lt;&gt;"",COUNTA(H$9:$H448)&amp;"","")</f>
        <v>302</v>
      </c>
      <c r="B448" s="87" t="s">
        <v>536</v>
      </c>
      <c r="C448" s="87" t="s">
        <v>536</v>
      </c>
      <c r="D448" s="88"/>
      <c r="E448" s="89" t="s">
        <v>586</v>
      </c>
      <c r="F448" s="90">
        <v>1</v>
      </c>
      <c r="H448" s="91" t="s">
        <v>239</v>
      </c>
      <c r="I448" s="92">
        <f t="shared" si="408"/>
        <v>0</v>
      </c>
      <c r="J448" s="93">
        <f t="shared" si="402"/>
        <v>1</v>
      </c>
      <c r="K448" s="94">
        <v>235</v>
      </c>
      <c r="L448" s="95">
        <f t="shared" si="403"/>
        <v>235</v>
      </c>
      <c r="M448" s="96">
        <f t="shared" si="404"/>
        <v>75</v>
      </c>
      <c r="N448" s="97">
        <v>1.46875</v>
      </c>
      <c r="O448" s="97">
        <f t="shared" si="405"/>
        <v>1.46875</v>
      </c>
      <c r="P448" s="95">
        <f t="shared" si="406"/>
        <v>110.15625</v>
      </c>
      <c r="Q448" s="98">
        <f t="shared" si="407"/>
        <v>345.15625</v>
      </c>
      <c r="R448" s="119"/>
    </row>
    <row r="449" spans="1:18" x14ac:dyDescent="0.3">
      <c r="A449" s="86" t="str">
        <f>IF(TRIM(H449)&lt;&gt;"",COUNTA(H$9:$H449)&amp;"","")</f>
        <v>303</v>
      </c>
      <c r="B449" s="87" t="s">
        <v>536</v>
      </c>
      <c r="C449" s="87" t="s">
        <v>536</v>
      </c>
      <c r="D449" s="88"/>
      <c r="E449" s="89" t="s">
        <v>587</v>
      </c>
      <c r="F449" s="90">
        <v>2</v>
      </c>
      <c r="H449" s="91" t="s">
        <v>239</v>
      </c>
      <c r="I449" s="92">
        <f t="shared" si="408"/>
        <v>0</v>
      </c>
      <c r="J449" s="93">
        <f t="shared" si="402"/>
        <v>2</v>
      </c>
      <c r="K449" s="94">
        <v>380</v>
      </c>
      <c r="L449" s="95">
        <f t="shared" si="403"/>
        <v>760</v>
      </c>
      <c r="M449" s="96">
        <f t="shared" si="404"/>
        <v>75</v>
      </c>
      <c r="N449" s="97">
        <v>2.375</v>
      </c>
      <c r="O449" s="97">
        <f t="shared" si="405"/>
        <v>4.75</v>
      </c>
      <c r="P449" s="95">
        <f t="shared" si="406"/>
        <v>356.25</v>
      </c>
      <c r="Q449" s="98">
        <f t="shared" si="407"/>
        <v>1116.25</v>
      </c>
      <c r="R449" s="119"/>
    </row>
    <row r="450" spans="1:18" x14ac:dyDescent="0.3">
      <c r="A450" s="86" t="str">
        <f>IF(TRIM(H450)&lt;&gt;"",COUNTA(H$9:$H450)&amp;"","")</f>
        <v>304</v>
      </c>
      <c r="B450" s="87" t="s">
        <v>536</v>
      </c>
      <c r="C450" s="87" t="s">
        <v>536</v>
      </c>
      <c r="D450" s="88"/>
      <c r="E450" s="89" t="s">
        <v>588</v>
      </c>
      <c r="F450" s="90">
        <v>7</v>
      </c>
      <c r="H450" s="91" t="s">
        <v>239</v>
      </c>
      <c r="I450" s="92">
        <f t="shared" si="408"/>
        <v>0</v>
      </c>
      <c r="J450" s="93">
        <f t="shared" si="402"/>
        <v>7</v>
      </c>
      <c r="K450" s="94">
        <v>185</v>
      </c>
      <c r="L450" s="95">
        <f t="shared" si="403"/>
        <v>1295</v>
      </c>
      <c r="M450" s="96">
        <f t="shared" si="404"/>
        <v>75</v>
      </c>
      <c r="N450" s="97">
        <v>1.15625</v>
      </c>
      <c r="O450" s="97">
        <f t="shared" si="405"/>
        <v>8.09375</v>
      </c>
      <c r="P450" s="95">
        <f t="shared" si="406"/>
        <v>607.03125</v>
      </c>
      <c r="Q450" s="98">
        <f t="shared" si="407"/>
        <v>1902.03125</v>
      </c>
      <c r="R450" s="119"/>
    </row>
    <row r="451" spans="1:18" x14ac:dyDescent="0.3">
      <c r="A451" s="86" t="str">
        <f>IF(TRIM(H451)&lt;&gt;"",COUNTA(H$9:$H451)&amp;"","")</f>
        <v>305</v>
      </c>
      <c r="B451" s="87" t="s">
        <v>536</v>
      </c>
      <c r="C451" s="87" t="s">
        <v>536</v>
      </c>
      <c r="D451" s="88"/>
      <c r="E451" s="89" t="s">
        <v>589</v>
      </c>
      <c r="F451" s="90">
        <v>1</v>
      </c>
      <c r="H451" s="91" t="s">
        <v>239</v>
      </c>
      <c r="I451" s="92">
        <f t="shared" si="408"/>
        <v>0</v>
      </c>
      <c r="J451" s="93">
        <f t="shared" si="402"/>
        <v>1</v>
      </c>
      <c r="K451" s="94">
        <v>385</v>
      </c>
      <c r="L451" s="95">
        <f t="shared" si="403"/>
        <v>385</v>
      </c>
      <c r="M451" s="96">
        <f t="shared" si="404"/>
        <v>75</v>
      </c>
      <c r="N451" s="97">
        <v>2.40625</v>
      </c>
      <c r="O451" s="97">
        <f t="shared" si="405"/>
        <v>2.40625</v>
      </c>
      <c r="P451" s="95">
        <f t="shared" si="406"/>
        <v>180.46875</v>
      </c>
      <c r="Q451" s="98">
        <f t="shared" si="407"/>
        <v>565.46875</v>
      </c>
      <c r="R451" s="119"/>
    </row>
    <row r="452" spans="1:18" x14ac:dyDescent="0.3">
      <c r="A452" s="86" t="str">
        <f>IF(TRIM(H452)&lt;&gt;"",COUNTA(H$9:$H452)&amp;"","")</f>
        <v>306</v>
      </c>
      <c r="B452" s="87" t="s">
        <v>536</v>
      </c>
      <c r="C452" s="87" t="s">
        <v>536</v>
      </c>
      <c r="D452" s="88"/>
      <c r="E452" s="89" t="s">
        <v>590</v>
      </c>
      <c r="F452" s="90">
        <v>6</v>
      </c>
      <c r="H452" s="91" t="s">
        <v>239</v>
      </c>
      <c r="I452" s="92">
        <f t="shared" si="408"/>
        <v>0</v>
      </c>
      <c r="J452" s="93">
        <f t="shared" si="402"/>
        <v>6</v>
      </c>
      <c r="K452" s="94">
        <v>250</v>
      </c>
      <c r="L452" s="95">
        <f t="shared" si="403"/>
        <v>1500</v>
      </c>
      <c r="M452" s="96">
        <f t="shared" si="404"/>
        <v>75</v>
      </c>
      <c r="N452" s="97">
        <v>1.5625</v>
      </c>
      <c r="O452" s="97">
        <f t="shared" si="405"/>
        <v>9.375</v>
      </c>
      <c r="P452" s="95">
        <f t="shared" si="406"/>
        <v>703.125</v>
      </c>
      <c r="Q452" s="98">
        <f t="shared" si="407"/>
        <v>2203.125</v>
      </c>
      <c r="R452" s="119"/>
    </row>
    <row r="453" spans="1:18" x14ac:dyDescent="0.3">
      <c r="A453" s="86" t="str">
        <f>IF(TRIM(H453)&lt;&gt;"",COUNTA(H$9:$H453)&amp;"","")</f>
        <v>307</v>
      </c>
      <c r="B453" s="87" t="s">
        <v>536</v>
      </c>
      <c r="C453" s="87" t="s">
        <v>536</v>
      </c>
      <c r="D453" s="88"/>
      <c r="E453" s="89" t="s">
        <v>591</v>
      </c>
      <c r="F453" s="90">
        <v>3</v>
      </c>
      <c r="H453" s="91" t="s">
        <v>239</v>
      </c>
      <c r="I453" s="92">
        <f t="shared" si="408"/>
        <v>0</v>
      </c>
      <c r="J453" s="93">
        <f t="shared" si="402"/>
        <v>3</v>
      </c>
      <c r="K453" s="94">
        <v>175</v>
      </c>
      <c r="L453" s="95">
        <f t="shared" si="403"/>
        <v>525</v>
      </c>
      <c r="M453" s="96">
        <f t="shared" si="404"/>
        <v>75</v>
      </c>
      <c r="N453" s="97">
        <v>1.09375</v>
      </c>
      <c r="O453" s="97">
        <f t="shared" si="405"/>
        <v>3.28125</v>
      </c>
      <c r="P453" s="95">
        <f t="shared" si="406"/>
        <v>246.09375</v>
      </c>
      <c r="Q453" s="98">
        <f t="shared" si="407"/>
        <v>771.09375</v>
      </c>
      <c r="R453" s="119"/>
    </row>
    <row r="454" spans="1:18" x14ac:dyDescent="0.3">
      <c r="A454" s="86" t="str">
        <f>IF(TRIM(H454)&lt;&gt;"",COUNTA(H$9:$H454)&amp;"","")</f>
        <v>308</v>
      </c>
      <c r="B454" s="87" t="s">
        <v>536</v>
      </c>
      <c r="C454" s="87" t="s">
        <v>536</v>
      </c>
      <c r="D454" s="88"/>
      <c r="E454" s="89" t="s">
        <v>592</v>
      </c>
      <c r="F454" s="90">
        <v>2</v>
      </c>
      <c r="H454" s="91" t="s">
        <v>239</v>
      </c>
      <c r="I454" s="92">
        <f t="shared" si="408"/>
        <v>0</v>
      </c>
      <c r="J454" s="93">
        <f t="shared" si="402"/>
        <v>2</v>
      </c>
      <c r="K454" s="94">
        <v>96</v>
      </c>
      <c r="L454" s="95">
        <f t="shared" si="403"/>
        <v>192</v>
      </c>
      <c r="M454" s="96">
        <f t="shared" si="404"/>
        <v>75</v>
      </c>
      <c r="N454" s="97">
        <v>0.6</v>
      </c>
      <c r="O454" s="97">
        <f t="shared" si="405"/>
        <v>1.2</v>
      </c>
      <c r="P454" s="95">
        <f t="shared" si="406"/>
        <v>90</v>
      </c>
      <c r="Q454" s="98">
        <f t="shared" si="407"/>
        <v>282</v>
      </c>
      <c r="R454" s="119"/>
    </row>
    <row r="455" spans="1:18" x14ac:dyDescent="0.3">
      <c r="A455" s="86" t="str">
        <f>IF(TRIM(H455)&lt;&gt;"",COUNTA(H$9:$H455)&amp;"","")</f>
        <v>309</v>
      </c>
      <c r="B455" s="87" t="s">
        <v>536</v>
      </c>
      <c r="C455" s="87" t="s">
        <v>536</v>
      </c>
      <c r="D455" s="88"/>
      <c r="E455" s="89" t="s">
        <v>593</v>
      </c>
      <c r="F455" s="90">
        <v>4</v>
      </c>
      <c r="H455" s="91" t="s">
        <v>239</v>
      </c>
      <c r="I455" s="92">
        <f t="shared" si="408"/>
        <v>0</v>
      </c>
      <c r="J455" s="93">
        <f t="shared" si="402"/>
        <v>4</v>
      </c>
      <c r="K455" s="94">
        <v>108</v>
      </c>
      <c r="L455" s="95">
        <f t="shared" si="403"/>
        <v>432</v>
      </c>
      <c r="M455" s="96">
        <f t="shared" si="404"/>
        <v>75</v>
      </c>
      <c r="N455" s="97">
        <v>0.67500000000000004</v>
      </c>
      <c r="O455" s="97">
        <f t="shared" si="405"/>
        <v>2.7</v>
      </c>
      <c r="P455" s="95">
        <f t="shared" si="406"/>
        <v>202.5</v>
      </c>
      <c r="Q455" s="98">
        <f t="shared" si="407"/>
        <v>634.5</v>
      </c>
      <c r="R455" s="119"/>
    </row>
    <row r="456" spans="1:18" x14ac:dyDescent="0.3">
      <c r="A456" s="86" t="str">
        <f>IF(TRIM(H456)&lt;&gt;"",COUNTA(H$9:$H456)&amp;"","")</f>
        <v>310</v>
      </c>
      <c r="B456" s="87" t="s">
        <v>536</v>
      </c>
      <c r="C456" s="87" t="s">
        <v>536</v>
      </c>
      <c r="D456" s="88"/>
      <c r="E456" s="89" t="s">
        <v>594</v>
      </c>
      <c r="F456" s="90">
        <v>2</v>
      </c>
      <c r="H456" s="91" t="s">
        <v>239</v>
      </c>
      <c r="I456" s="92">
        <f t="shared" si="408"/>
        <v>0</v>
      </c>
      <c r="J456" s="93">
        <f t="shared" ref="J456:J463" si="409">IF(F456=0,"",F456+(F456*I456))</f>
        <v>2</v>
      </c>
      <c r="K456" s="94">
        <v>140</v>
      </c>
      <c r="L456" s="95">
        <f t="shared" ref="L456:L463" si="410">IF(F456=0,"",K456*J456)</f>
        <v>280</v>
      </c>
      <c r="M456" s="96">
        <f t="shared" ref="M456:M463" si="411">IF(F456=0,"",M$7)</f>
        <v>75</v>
      </c>
      <c r="N456" s="97">
        <v>0.875</v>
      </c>
      <c r="O456" s="97">
        <f t="shared" ref="O456:O463" si="412">IF(F456=0,"",N456*J456)</f>
        <v>1.75</v>
      </c>
      <c r="P456" s="95">
        <f t="shared" ref="P456:P463" si="413">IF(F456=0,"",O456*M456)</f>
        <v>131.25</v>
      </c>
      <c r="Q456" s="98">
        <f t="shared" ref="Q456:Q463" si="414">IF(F456=0,"",L456+P456)</f>
        <v>411.25</v>
      </c>
      <c r="R456" s="119"/>
    </row>
    <row r="457" spans="1:18" x14ac:dyDescent="0.3">
      <c r="A457" s="86" t="str">
        <f>IF(TRIM(H457)&lt;&gt;"",COUNTA(H$9:$H457)&amp;"","")</f>
        <v>311</v>
      </c>
      <c r="B457" s="87" t="s">
        <v>536</v>
      </c>
      <c r="C457" s="87" t="s">
        <v>536</v>
      </c>
      <c r="D457" s="88"/>
      <c r="E457" s="89" t="s">
        <v>595</v>
      </c>
      <c r="F457" s="90">
        <v>1</v>
      </c>
      <c r="H457" s="91" t="s">
        <v>239</v>
      </c>
      <c r="I457" s="92">
        <f t="shared" si="408"/>
        <v>0</v>
      </c>
      <c r="J457" s="93">
        <f t="shared" si="409"/>
        <v>1</v>
      </c>
      <c r="K457" s="94">
        <v>130</v>
      </c>
      <c r="L457" s="95">
        <f t="shared" si="410"/>
        <v>130</v>
      </c>
      <c r="M457" s="96">
        <f t="shared" si="411"/>
        <v>75</v>
      </c>
      <c r="N457" s="97">
        <v>0.8125</v>
      </c>
      <c r="O457" s="97">
        <f t="shared" si="412"/>
        <v>0.8125</v>
      </c>
      <c r="P457" s="95">
        <f t="shared" si="413"/>
        <v>60.9375</v>
      </c>
      <c r="Q457" s="98">
        <f t="shared" si="414"/>
        <v>190.9375</v>
      </c>
      <c r="R457" s="119"/>
    </row>
    <row r="458" spans="1:18" x14ac:dyDescent="0.3">
      <c r="A458" s="86" t="str">
        <f>IF(TRIM(H458)&lt;&gt;"",COUNTA(H$9:$H458)&amp;"","")</f>
        <v>312</v>
      </c>
      <c r="B458" s="87" t="s">
        <v>536</v>
      </c>
      <c r="C458" s="87" t="s">
        <v>536</v>
      </c>
      <c r="D458" s="88"/>
      <c r="E458" s="89" t="s">
        <v>596</v>
      </c>
      <c r="F458" s="90">
        <v>1</v>
      </c>
      <c r="H458" s="91" t="s">
        <v>239</v>
      </c>
      <c r="I458" s="92">
        <f t="shared" si="408"/>
        <v>0</v>
      </c>
      <c r="J458" s="93">
        <f t="shared" si="409"/>
        <v>1</v>
      </c>
      <c r="K458" s="94">
        <v>1075</v>
      </c>
      <c r="L458" s="95">
        <f t="shared" si="410"/>
        <v>1075</v>
      </c>
      <c r="M458" s="96">
        <f t="shared" si="411"/>
        <v>75</v>
      </c>
      <c r="N458" s="97">
        <v>6.71875</v>
      </c>
      <c r="O458" s="97">
        <f t="shared" si="412"/>
        <v>6.71875</v>
      </c>
      <c r="P458" s="95">
        <f t="shared" si="413"/>
        <v>503.90625</v>
      </c>
      <c r="Q458" s="98">
        <f t="shared" si="414"/>
        <v>1578.90625</v>
      </c>
      <c r="R458" s="119"/>
    </row>
    <row r="459" spans="1:18" x14ac:dyDescent="0.3">
      <c r="A459" s="86" t="str">
        <f>IF(TRIM(H459)&lt;&gt;"",COUNTA(H$9:$H459)&amp;"","")</f>
        <v>313</v>
      </c>
      <c r="B459" s="87" t="s">
        <v>536</v>
      </c>
      <c r="C459" s="87" t="s">
        <v>536</v>
      </c>
      <c r="D459" s="88"/>
      <c r="E459" s="89" t="s">
        <v>597</v>
      </c>
      <c r="F459" s="90">
        <v>3</v>
      </c>
      <c r="H459" s="91" t="s">
        <v>239</v>
      </c>
      <c r="I459" s="92">
        <f t="shared" si="408"/>
        <v>0</v>
      </c>
      <c r="J459" s="93">
        <f t="shared" si="409"/>
        <v>3</v>
      </c>
      <c r="K459" s="94">
        <v>142.4</v>
      </c>
      <c r="L459" s="95">
        <f t="shared" si="410"/>
        <v>427.20000000000005</v>
      </c>
      <c r="M459" s="96">
        <f t="shared" si="411"/>
        <v>75</v>
      </c>
      <c r="N459" s="97">
        <v>0.89</v>
      </c>
      <c r="O459" s="97">
        <f t="shared" si="412"/>
        <v>2.67</v>
      </c>
      <c r="P459" s="95">
        <f t="shared" si="413"/>
        <v>200.25</v>
      </c>
      <c r="Q459" s="98">
        <f t="shared" si="414"/>
        <v>627.45000000000005</v>
      </c>
      <c r="R459" s="119"/>
    </row>
    <row r="460" spans="1:18" x14ac:dyDescent="0.3">
      <c r="A460" s="86" t="str">
        <f>IF(TRIM(H460)&lt;&gt;"",COUNTA(H$9:$H460)&amp;"","")</f>
        <v>314</v>
      </c>
      <c r="B460" s="87" t="s">
        <v>536</v>
      </c>
      <c r="C460" s="87" t="s">
        <v>536</v>
      </c>
      <c r="D460" s="88"/>
      <c r="E460" s="89" t="s">
        <v>598</v>
      </c>
      <c r="F460" s="90">
        <v>1</v>
      </c>
      <c r="H460" s="91" t="s">
        <v>239</v>
      </c>
      <c r="I460" s="92">
        <f t="shared" si="408"/>
        <v>0</v>
      </c>
      <c r="J460" s="93">
        <f t="shared" si="409"/>
        <v>1</v>
      </c>
      <c r="K460" s="94">
        <v>337</v>
      </c>
      <c r="L460" s="95">
        <f t="shared" si="410"/>
        <v>337</v>
      </c>
      <c r="M460" s="96">
        <f t="shared" si="411"/>
        <v>75</v>
      </c>
      <c r="N460" s="97">
        <v>2.1062500000000002</v>
      </c>
      <c r="O460" s="97">
        <f t="shared" si="412"/>
        <v>2.1062500000000002</v>
      </c>
      <c r="P460" s="95">
        <f t="shared" si="413"/>
        <v>157.96875</v>
      </c>
      <c r="Q460" s="98">
        <f t="shared" si="414"/>
        <v>494.96875</v>
      </c>
      <c r="R460" s="119"/>
    </row>
    <row r="461" spans="1:18" x14ac:dyDescent="0.3">
      <c r="A461" s="86" t="str">
        <f>IF(TRIM(H461)&lt;&gt;"",COUNTA(H$9:$H461)&amp;"","")</f>
        <v>315</v>
      </c>
      <c r="B461" s="87" t="s">
        <v>536</v>
      </c>
      <c r="C461" s="87" t="s">
        <v>536</v>
      </c>
      <c r="D461" s="88"/>
      <c r="E461" s="89" t="s">
        <v>599</v>
      </c>
      <c r="F461" s="90">
        <v>1</v>
      </c>
      <c r="H461" s="91" t="s">
        <v>239</v>
      </c>
      <c r="I461" s="92">
        <f t="shared" si="408"/>
        <v>0</v>
      </c>
      <c r="J461" s="93">
        <f t="shared" si="409"/>
        <v>1</v>
      </c>
      <c r="K461" s="94">
        <v>139</v>
      </c>
      <c r="L461" s="95">
        <f t="shared" si="410"/>
        <v>139</v>
      </c>
      <c r="M461" s="96">
        <f t="shared" si="411"/>
        <v>75</v>
      </c>
      <c r="N461" s="97">
        <v>0.86875000000000002</v>
      </c>
      <c r="O461" s="97">
        <f t="shared" si="412"/>
        <v>0.86875000000000002</v>
      </c>
      <c r="P461" s="95">
        <f t="shared" si="413"/>
        <v>65.15625</v>
      </c>
      <c r="Q461" s="98">
        <f t="shared" si="414"/>
        <v>204.15625</v>
      </c>
      <c r="R461" s="119"/>
    </row>
    <row r="462" spans="1:18" x14ac:dyDescent="0.3">
      <c r="A462" s="86" t="str">
        <f>IF(TRIM(H462)&lt;&gt;"",COUNTA(H$9:$H462)&amp;"","")</f>
        <v>316</v>
      </c>
      <c r="B462" s="87" t="s">
        <v>536</v>
      </c>
      <c r="C462" s="87" t="s">
        <v>536</v>
      </c>
      <c r="D462" s="88"/>
      <c r="E462" s="89" t="s">
        <v>600</v>
      </c>
      <c r="F462" s="90">
        <v>1</v>
      </c>
      <c r="H462" s="91" t="s">
        <v>239</v>
      </c>
      <c r="I462" s="92">
        <f t="shared" si="408"/>
        <v>0</v>
      </c>
      <c r="J462" s="93">
        <f t="shared" si="409"/>
        <v>1</v>
      </c>
      <c r="K462" s="94">
        <v>130</v>
      </c>
      <c r="L462" s="95">
        <f t="shared" si="410"/>
        <v>130</v>
      </c>
      <c r="M462" s="96">
        <f t="shared" si="411"/>
        <v>75</v>
      </c>
      <c r="N462" s="97">
        <v>0.8125</v>
      </c>
      <c r="O462" s="97">
        <f t="shared" si="412"/>
        <v>0.8125</v>
      </c>
      <c r="P462" s="95">
        <f t="shared" si="413"/>
        <v>60.9375</v>
      </c>
      <c r="Q462" s="98">
        <f t="shared" si="414"/>
        <v>190.9375</v>
      </c>
      <c r="R462" s="119"/>
    </row>
    <row r="463" spans="1:18" x14ac:dyDescent="0.3">
      <c r="A463" s="86" t="str">
        <f>IF(TRIM(H463)&lt;&gt;"",COUNTA(H$9:$H463)&amp;"","")</f>
        <v/>
      </c>
      <c r="B463" s="87"/>
      <c r="C463" s="87"/>
      <c r="D463" s="88"/>
      <c r="E463" s="89" t="s">
        <v>549</v>
      </c>
      <c r="F463" s="90"/>
      <c r="H463" s="91"/>
      <c r="I463" s="92" t="str">
        <f t="shared" si="408"/>
        <v/>
      </c>
      <c r="J463" s="93" t="str">
        <f t="shared" si="409"/>
        <v/>
      </c>
      <c r="K463" s="94" t="s">
        <v>549</v>
      </c>
      <c r="L463" s="95" t="str">
        <f t="shared" si="410"/>
        <v/>
      </c>
      <c r="M463" s="96" t="str">
        <f t="shared" si="411"/>
        <v/>
      </c>
      <c r="N463" s="97" t="s">
        <v>549</v>
      </c>
      <c r="O463" s="97" t="str">
        <f t="shared" si="412"/>
        <v/>
      </c>
      <c r="P463" s="95" t="str">
        <f t="shared" si="413"/>
        <v/>
      </c>
      <c r="Q463" s="98" t="str">
        <f t="shared" si="414"/>
        <v/>
      </c>
      <c r="R463" s="119"/>
    </row>
    <row r="464" spans="1:18" x14ac:dyDescent="0.3">
      <c r="A464" s="86" t="str">
        <f>IF(TRIM(H464)&lt;&gt;"",COUNTA(H$9:$H464)&amp;"","")</f>
        <v/>
      </c>
      <c r="B464" s="87"/>
      <c r="C464" s="87"/>
      <c r="D464" s="88"/>
      <c r="E464" s="125" t="s">
        <v>601</v>
      </c>
      <c r="F464" s="90"/>
      <c r="H464" s="91"/>
      <c r="I464" s="92" t="str">
        <f>IF(F464=0,"",0)</f>
        <v/>
      </c>
      <c r="J464" s="93" t="str">
        <f>IF(F464=0,"",F464+(F464*I464))</f>
        <v/>
      </c>
      <c r="K464" s="94" t="s">
        <v>549</v>
      </c>
      <c r="L464" s="95" t="str">
        <f>IF(F464=0,"",K464*J464)</f>
        <v/>
      </c>
      <c r="M464" s="96" t="str">
        <f>IF(F464=0,"",M$7)</f>
        <v/>
      </c>
      <c r="N464" s="97" t="s">
        <v>549</v>
      </c>
      <c r="O464" s="97" t="str">
        <f>IF(F464=0,"",N464*J464)</f>
        <v/>
      </c>
      <c r="P464" s="95" t="str">
        <f>IF(F464=0,"",O464*M464)</f>
        <v/>
      </c>
      <c r="Q464" s="98" t="str">
        <f>IF(F464=0,"",L464+P464)</f>
        <v/>
      </c>
      <c r="R464" s="119"/>
    </row>
    <row r="465" spans="1:18" x14ac:dyDescent="0.3">
      <c r="A465" s="86" t="str">
        <f>IF(TRIM(H465)&lt;&gt;"",COUNTA(H$9:$H465)&amp;"","")</f>
        <v>317</v>
      </c>
      <c r="B465" s="87" t="s">
        <v>536</v>
      </c>
      <c r="C465" s="87" t="s">
        <v>536</v>
      </c>
      <c r="D465" s="88"/>
      <c r="E465" s="89" t="s">
        <v>602</v>
      </c>
      <c r="F465" s="90">
        <v>36.590000000000003</v>
      </c>
      <c r="H465" s="91" t="s">
        <v>210</v>
      </c>
      <c r="I465" s="92">
        <v>0.1</v>
      </c>
      <c r="J465" s="93">
        <f t="shared" ref="J465:J479" si="415">IF(F465=0,"",F465+(F465*I465))</f>
        <v>40.249000000000002</v>
      </c>
      <c r="K465" s="94">
        <v>15.12</v>
      </c>
      <c r="L465" s="95">
        <f t="shared" ref="L465:L479" si="416">IF(F465=0,"",K465*J465)</f>
        <v>608.56488000000002</v>
      </c>
      <c r="M465" s="96">
        <f t="shared" ref="M465:M479" si="417">IF(F465=0,"",M$7)</f>
        <v>75</v>
      </c>
      <c r="N465" s="97">
        <v>0.252</v>
      </c>
      <c r="O465" s="97">
        <f t="shared" ref="O465:O479" si="418">IF(F465=0,"",N465*J465)</f>
        <v>10.142748000000001</v>
      </c>
      <c r="P465" s="95">
        <f t="shared" ref="P465:P479" si="419">IF(F465=0,"",O465*M465)</f>
        <v>760.70610000000011</v>
      </c>
      <c r="Q465" s="98">
        <f t="shared" ref="Q465:Q479" si="420">IF(F465=0,"",L465+P465)</f>
        <v>1369.2709800000002</v>
      </c>
      <c r="R465" s="119"/>
    </row>
    <row r="466" spans="1:18" x14ac:dyDescent="0.3">
      <c r="A466" s="86" t="str">
        <f>IF(TRIM(H466)&lt;&gt;"",COUNTA(H$9:$H466)&amp;"","")</f>
        <v>318</v>
      </c>
      <c r="B466" s="87" t="s">
        <v>536</v>
      </c>
      <c r="C466" s="87" t="s">
        <v>536</v>
      </c>
      <c r="D466" s="88"/>
      <c r="E466" s="89" t="s">
        <v>603</v>
      </c>
      <c r="F466" s="90">
        <v>49.8</v>
      </c>
      <c r="H466" s="91" t="s">
        <v>210</v>
      </c>
      <c r="I466" s="92">
        <v>0.1</v>
      </c>
      <c r="J466" s="93">
        <f t="shared" si="415"/>
        <v>54.78</v>
      </c>
      <c r="K466" s="94">
        <v>15.12</v>
      </c>
      <c r="L466" s="95">
        <f t="shared" si="416"/>
        <v>828.27359999999999</v>
      </c>
      <c r="M466" s="96">
        <f t="shared" si="417"/>
        <v>75</v>
      </c>
      <c r="N466" s="97">
        <v>0.252</v>
      </c>
      <c r="O466" s="97">
        <f t="shared" si="418"/>
        <v>13.80456</v>
      </c>
      <c r="P466" s="95">
        <f t="shared" si="419"/>
        <v>1035.3420000000001</v>
      </c>
      <c r="Q466" s="98">
        <f t="shared" si="420"/>
        <v>1863.6156000000001</v>
      </c>
      <c r="R466" s="119"/>
    </row>
    <row r="467" spans="1:18" x14ac:dyDescent="0.3">
      <c r="A467" s="86" t="str">
        <f>IF(TRIM(H467)&lt;&gt;"",COUNTA(H$9:$H467)&amp;"","")</f>
        <v>319</v>
      </c>
      <c r="B467" s="87" t="s">
        <v>536</v>
      </c>
      <c r="C467" s="87" t="s">
        <v>536</v>
      </c>
      <c r="D467" s="88"/>
      <c r="E467" s="89" t="s">
        <v>604</v>
      </c>
      <c r="F467" s="90">
        <v>25.53</v>
      </c>
      <c r="H467" s="91" t="s">
        <v>210</v>
      </c>
      <c r="I467" s="92">
        <v>0.1</v>
      </c>
      <c r="J467" s="93">
        <f t="shared" si="415"/>
        <v>28.083000000000002</v>
      </c>
      <c r="K467" s="94">
        <v>11.34</v>
      </c>
      <c r="L467" s="95">
        <f t="shared" si="416"/>
        <v>318.46122000000003</v>
      </c>
      <c r="M467" s="96">
        <f t="shared" si="417"/>
        <v>75</v>
      </c>
      <c r="N467" s="97">
        <v>0.189</v>
      </c>
      <c r="O467" s="97">
        <f t="shared" si="418"/>
        <v>5.3076870000000005</v>
      </c>
      <c r="P467" s="95">
        <f t="shared" si="419"/>
        <v>398.07652500000006</v>
      </c>
      <c r="Q467" s="98">
        <f t="shared" si="420"/>
        <v>716.53774500000009</v>
      </c>
      <c r="R467" s="119"/>
    </row>
    <row r="468" spans="1:18" x14ac:dyDescent="0.3">
      <c r="A468" s="86" t="str">
        <f>IF(TRIM(H468)&lt;&gt;"",COUNTA(H$9:$H468)&amp;"","")</f>
        <v>320</v>
      </c>
      <c r="B468" s="87" t="s">
        <v>536</v>
      </c>
      <c r="C468" s="87" t="s">
        <v>536</v>
      </c>
      <c r="D468" s="88"/>
      <c r="E468" s="89" t="s">
        <v>605</v>
      </c>
      <c r="F468" s="90">
        <v>10.050000000000001</v>
      </c>
      <c r="H468" s="91" t="s">
        <v>210</v>
      </c>
      <c r="I468" s="92">
        <v>0.1</v>
      </c>
      <c r="J468" s="93">
        <f t="shared" si="415"/>
        <v>11.055000000000001</v>
      </c>
      <c r="K468" s="94">
        <v>18.36</v>
      </c>
      <c r="L468" s="95">
        <f t="shared" si="416"/>
        <v>202.96980000000002</v>
      </c>
      <c r="M468" s="96">
        <f t="shared" si="417"/>
        <v>75</v>
      </c>
      <c r="N468" s="97">
        <v>0.30600000000000005</v>
      </c>
      <c r="O468" s="97">
        <f t="shared" si="418"/>
        <v>3.3828300000000011</v>
      </c>
      <c r="P468" s="95">
        <f t="shared" si="419"/>
        <v>253.7122500000001</v>
      </c>
      <c r="Q468" s="98">
        <f t="shared" si="420"/>
        <v>456.68205000000012</v>
      </c>
      <c r="R468" s="119"/>
    </row>
    <row r="469" spans="1:18" x14ac:dyDescent="0.3">
      <c r="A469" s="86" t="str">
        <f>IF(TRIM(H469)&lt;&gt;"",COUNTA(H$9:$H469)&amp;"","")</f>
        <v/>
      </c>
      <c r="B469" s="87"/>
      <c r="C469" s="87"/>
      <c r="D469" s="88"/>
      <c r="E469" s="89" t="s">
        <v>549</v>
      </c>
      <c r="F469" s="90"/>
      <c r="H469" s="91"/>
      <c r="I469" s="92" t="str">
        <f t="shared" ref="I469:I479" si="421">IF(F469=0,"",0)</f>
        <v/>
      </c>
      <c r="J469" s="93" t="str">
        <f t="shared" si="415"/>
        <v/>
      </c>
      <c r="K469" s="94" t="s">
        <v>549</v>
      </c>
      <c r="L469" s="95" t="str">
        <f t="shared" si="416"/>
        <v/>
      </c>
      <c r="M469" s="96" t="str">
        <f t="shared" si="417"/>
        <v/>
      </c>
      <c r="N469" s="97" t="s">
        <v>549</v>
      </c>
      <c r="O469" s="97" t="str">
        <f t="shared" si="418"/>
        <v/>
      </c>
      <c r="P469" s="95" t="str">
        <f t="shared" si="419"/>
        <v/>
      </c>
      <c r="Q469" s="98" t="str">
        <f t="shared" si="420"/>
        <v/>
      </c>
      <c r="R469" s="119"/>
    </row>
    <row r="470" spans="1:18" x14ac:dyDescent="0.3">
      <c r="A470" s="86" t="str">
        <f>IF(TRIM(H470)&lt;&gt;"",COUNTA(H$9:$H470)&amp;"","")</f>
        <v/>
      </c>
      <c r="B470" s="87"/>
      <c r="C470" s="87"/>
      <c r="D470" s="88"/>
      <c r="E470" s="125" t="s">
        <v>606</v>
      </c>
      <c r="F470" s="90"/>
      <c r="H470" s="91"/>
      <c r="I470" s="92" t="str">
        <f t="shared" si="421"/>
        <v/>
      </c>
      <c r="J470" s="93" t="str">
        <f t="shared" si="415"/>
        <v/>
      </c>
      <c r="K470" s="94" t="s">
        <v>549</v>
      </c>
      <c r="L470" s="95" t="str">
        <f t="shared" si="416"/>
        <v/>
      </c>
      <c r="M470" s="96" t="str">
        <f t="shared" si="417"/>
        <v/>
      </c>
      <c r="N470" s="97" t="s">
        <v>549</v>
      </c>
      <c r="O470" s="97" t="str">
        <f t="shared" si="418"/>
        <v/>
      </c>
      <c r="P470" s="95" t="str">
        <f t="shared" si="419"/>
        <v/>
      </c>
      <c r="Q470" s="98" t="str">
        <f t="shared" si="420"/>
        <v/>
      </c>
      <c r="R470" s="119"/>
    </row>
    <row r="471" spans="1:18" x14ac:dyDescent="0.3">
      <c r="A471" s="86" t="str">
        <f>IF(TRIM(H471)&lt;&gt;"",COUNTA(H$9:$H471)&amp;"","")</f>
        <v>321</v>
      </c>
      <c r="B471" s="87" t="s">
        <v>536</v>
      </c>
      <c r="C471" s="87" t="s">
        <v>536</v>
      </c>
      <c r="D471" s="88"/>
      <c r="E471" s="89" t="s">
        <v>607</v>
      </c>
      <c r="F471" s="90">
        <v>3</v>
      </c>
      <c r="H471" s="91" t="s">
        <v>239</v>
      </c>
      <c r="I471" s="92">
        <f t="shared" si="421"/>
        <v>0</v>
      </c>
      <c r="J471" s="93">
        <f t="shared" si="415"/>
        <v>3</v>
      </c>
      <c r="K471" s="94">
        <v>8.8000000000000007</v>
      </c>
      <c r="L471" s="95">
        <f t="shared" si="416"/>
        <v>26.400000000000002</v>
      </c>
      <c r="M471" s="96">
        <f t="shared" si="417"/>
        <v>75</v>
      </c>
      <c r="N471" s="97">
        <v>5.5000000000000007E-2</v>
      </c>
      <c r="O471" s="97">
        <f t="shared" si="418"/>
        <v>0.16500000000000004</v>
      </c>
      <c r="P471" s="95">
        <f t="shared" si="419"/>
        <v>12.375000000000004</v>
      </c>
      <c r="Q471" s="98">
        <f t="shared" si="420"/>
        <v>38.775000000000006</v>
      </c>
      <c r="R471" s="119"/>
    </row>
    <row r="472" spans="1:18" x14ac:dyDescent="0.3">
      <c r="A472" s="86" t="str">
        <f>IF(TRIM(H472)&lt;&gt;"",COUNTA(H$9:$H472)&amp;"","")</f>
        <v>322</v>
      </c>
      <c r="B472" s="87" t="s">
        <v>536</v>
      </c>
      <c r="C472" s="87" t="s">
        <v>536</v>
      </c>
      <c r="D472" s="88"/>
      <c r="E472" s="89" t="s">
        <v>555</v>
      </c>
      <c r="F472" s="90">
        <v>7</v>
      </c>
      <c r="H472" s="91" t="s">
        <v>239</v>
      </c>
      <c r="I472" s="92">
        <f t="shared" si="421"/>
        <v>0</v>
      </c>
      <c r="J472" s="93">
        <f t="shared" si="415"/>
        <v>7</v>
      </c>
      <c r="K472" s="94">
        <v>10.4</v>
      </c>
      <c r="L472" s="95">
        <f t="shared" si="416"/>
        <v>72.8</v>
      </c>
      <c r="M472" s="96">
        <f t="shared" si="417"/>
        <v>75</v>
      </c>
      <c r="N472" s="97">
        <v>6.5000000000000002E-2</v>
      </c>
      <c r="O472" s="97">
        <f t="shared" si="418"/>
        <v>0.45500000000000002</v>
      </c>
      <c r="P472" s="95">
        <f t="shared" si="419"/>
        <v>34.125</v>
      </c>
      <c r="Q472" s="98">
        <f t="shared" si="420"/>
        <v>106.925</v>
      </c>
      <c r="R472" s="119"/>
    </row>
    <row r="473" spans="1:18" x14ac:dyDescent="0.3">
      <c r="A473" s="86" t="str">
        <f>IF(TRIM(H473)&lt;&gt;"",COUNTA(H$9:$H473)&amp;"","")</f>
        <v>323</v>
      </c>
      <c r="B473" s="87" t="s">
        <v>536</v>
      </c>
      <c r="C473" s="87" t="s">
        <v>536</v>
      </c>
      <c r="D473" s="88"/>
      <c r="E473" s="89" t="s">
        <v>564</v>
      </c>
      <c r="F473" s="90">
        <v>1</v>
      </c>
      <c r="H473" s="91" t="s">
        <v>239</v>
      </c>
      <c r="I473" s="92">
        <f t="shared" si="421"/>
        <v>0</v>
      </c>
      <c r="J473" s="93">
        <f t="shared" si="415"/>
        <v>1</v>
      </c>
      <c r="K473" s="94">
        <v>10.4</v>
      </c>
      <c r="L473" s="95">
        <f t="shared" si="416"/>
        <v>10.4</v>
      </c>
      <c r="M473" s="96">
        <f t="shared" si="417"/>
        <v>75</v>
      </c>
      <c r="N473" s="97">
        <v>6.5000000000000002E-2</v>
      </c>
      <c r="O473" s="97">
        <f t="shared" si="418"/>
        <v>6.5000000000000002E-2</v>
      </c>
      <c r="P473" s="95">
        <f t="shared" si="419"/>
        <v>4.875</v>
      </c>
      <c r="Q473" s="98">
        <f t="shared" si="420"/>
        <v>15.275</v>
      </c>
      <c r="R473" s="119"/>
    </row>
    <row r="474" spans="1:18" x14ac:dyDescent="0.3">
      <c r="A474" s="86" t="str">
        <f>IF(TRIM(H474)&lt;&gt;"",COUNTA(H$9:$H474)&amp;"","")</f>
        <v>324</v>
      </c>
      <c r="B474" s="87" t="s">
        <v>536</v>
      </c>
      <c r="C474" s="87" t="s">
        <v>536</v>
      </c>
      <c r="D474" s="88"/>
      <c r="E474" s="89" t="s">
        <v>608</v>
      </c>
      <c r="F474" s="90">
        <v>1</v>
      </c>
      <c r="H474" s="91" t="s">
        <v>239</v>
      </c>
      <c r="I474" s="92">
        <f t="shared" si="421"/>
        <v>0</v>
      </c>
      <c r="J474" s="93">
        <f t="shared" si="415"/>
        <v>1</v>
      </c>
      <c r="K474" s="94">
        <v>9.6</v>
      </c>
      <c r="L474" s="95">
        <f t="shared" si="416"/>
        <v>9.6</v>
      </c>
      <c r="M474" s="96">
        <f t="shared" si="417"/>
        <v>75</v>
      </c>
      <c r="N474" s="97">
        <v>6.0000000000000012E-2</v>
      </c>
      <c r="O474" s="97">
        <f t="shared" si="418"/>
        <v>6.0000000000000012E-2</v>
      </c>
      <c r="P474" s="95">
        <f t="shared" si="419"/>
        <v>4.5000000000000009</v>
      </c>
      <c r="Q474" s="98">
        <f t="shared" si="420"/>
        <v>14.100000000000001</v>
      </c>
      <c r="R474" s="119"/>
    </row>
    <row r="475" spans="1:18" x14ac:dyDescent="0.3">
      <c r="A475" s="86" t="str">
        <f>IF(TRIM(H475)&lt;&gt;"",COUNTA(H$9:$H475)&amp;"","")</f>
        <v>325</v>
      </c>
      <c r="B475" s="87" t="s">
        <v>536</v>
      </c>
      <c r="C475" s="87" t="s">
        <v>536</v>
      </c>
      <c r="D475" s="88"/>
      <c r="E475" s="89" t="s">
        <v>609</v>
      </c>
      <c r="F475" s="90">
        <v>1</v>
      </c>
      <c r="H475" s="91" t="s">
        <v>239</v>
      </c>
      <c r="I475" s="92">
        <f t="shared" si="421"/>
        <v>0</v>
      </c>
      <c r="J475" s="93">
        <f t="shared" si="415"/>
        <v>1</v>
      </c>
      <c r="K475" s="94">
        <v>10.8</v>
      </c>
      <c r="L475" s="95">
        <f t="shared" si="416"/>
        <v>10.8</v>
      </c>
      <c r="M475" s="96">
        <f t="shared" si="417"/>
        <v>75</v>
      </c>
      <c r="N475" s="97">
        <v>6.7500000000000004E-2</v>
      </c>
      <c r="O475" s="97">
        <f t="shared" si="418"/>
        <v>6.7500000000000004E-2</v>
      </c>
      <c r="P475" s="95">
        <f t="shared" si="419"/>
        <v>5.0625</v>
      </c>
      <c r="Q475" s="98">
        <f t="shared" si="420"/>
        <v>15.862500000000001</v>
      </c>
      <c r="R475" s="119"/>
    </row>
    <row r="476" spans="1:18" x14ac:dyDescent="0.3">
      <c r="A476" s="86" t="str">
        <f>IF(TRIM(H476)&lt;&gt;"",COUNTA(H$9:$H476)&amp;"","")</f>
        <v/>
      </c>
      <c r="B476" s="87"/>
      <c r="C476" s="87"/>
      <c r="D476" s="88"/>
      <c r="E476" s="89" t="s">
        <v>549</v>
      </c>
      <c r="F476" s="90"/>
      <c r="H476" s="91"/>
      <c r="I476" s="92" t="str">
        <f t="shared" si="421"/>
        <v/>
      </c>
      <c r="J476" s="93" t="str">
        <f t="shared" si="415"/>
        <v/>
      </c>
      <c r="K476" s="94" t="s">
        <v>549</v>
      </c>
      <c r="L476" s="95" t="str">
        <f t="shared" si="416"/>
        <v/>
      </c>
      <c r="M476" s="96" t="str">
        <f t="shared" si="417"/>
        <v/>
      </c>
      <c r="N476" s="97" t="s">
        <v>549</v>
      </c>
      <c r="O476" s="97" t="str">
        <f t="shared" si="418"/>
        <v/>
      </c>
      <c r="P476" s="95" t="str">
        <f t="shared" si="419"/>
        <v/>
      </c>
      <c r="Q476" s="98" t="str">
        <f t="shared" si="420"/>
        <v/>
      </c>
      <c r="R476" s="119"/>
    </row>
    <row r="477" spans="1:18" x14ac:dyDescent="0.3">
      <c r="A477" s="86" t="str">
        <f>IF(TRIM(H477)&lt;&gt;"",COUNTA(H$9:$H477)&amp;"","")</f>
        <v/>
      </c>
      <c r="B477" s="87"/>
      <c r="C477" s="87"/>
      <c r="D477" s="88"/>
      <c r="E477" s="125" t="s">
        <v>571</v>
      </c>
      <c r="F477" s="90"/>
      <c r="H477" s="91"/>
      <c r="I477" s="92" t="str">
        <f t="shared" si="421"/>
        <v/>
      </c>
      <c r="J477" s="93" t="str">
        <f t="shared" si="415"/>
        <v/>
      </c>
      <c r="K477" s="94" t="s">
        <v>549</v>
      </c>
      <c r="L477" s="95" t="str">
        <f t="shared" si="416"/>
        <v/>
      </c>
      <c r="M477" s="96" t="str">
        <f t="shared" si="417"/>
        <v/>
      </c>
      <c r="N477" s="97" t="s">
        <v>549</v>
      </c>
      <c r="O477" s="97" t="str">
        <f t="shared" si="418"/>
        <v/>
      </c>
      <c r="P477" s="95" t="str">
        <f t="shared" si="419"/>
        <v/>
      </c>
      <c r="Q477" s="98" t="str">
        <f t="shared" si="420"/>
        <v/>
      </c>
      <c r="R477" s="119"/>
    </row>
    <row r="478" spans="1:18" x14ac:dyDescent="0.3">
      <c r="A478" s="86" t="str">
        <f>IF(TRIM(H478)&lt;&gt;"",COUNTA(H$9:$H478)&amp;"","")</f>
        <v>326</v>
      </c>
      <c r="B478" s="87" t="s">
        <v>536</v>
      </c>
      <c r="C478" s="87" t="s">
        <v>536</v>
      </c>
      <c r="D478" s="88"/>
      <c r="E478" s="89" t="s">
        <v>610</v>
      </c>
      <c r="F478" s="90">
        <v>2</v>
      </c>
      <c r="H478" s="91" t="s">
        <v>239</v>
      </c>
      <c r="I478" s="92">
        <f t="shared" si="421"/>
        <v>0</v>
      </c>
      <c r="J478" s="93">
        <f t="shared" si="415"/>
        <v>2</v>
      </c>
      <c r="K478" s="94">
        <v>195</v>
      </c>
      <c r="L478" s="95">
        <f t="shared" si="416"/>
        <v>390</v>
      </c>
      <c r="M478" s="96">
        <f t="shared" si="417"/>
        <v>75</v>
      </c>
      <c r="N478" s="97">
        <v>1.21875</v>
      </c>
      <c r="O478" s="97">
        <f t="shared" si="418"/>
        <v>2.4375</v>
      </c>
      <c r="P478" s="95">
        <f t="shared" si="419"/>
        <v>182.8125</v>
      </c>
      <c r="Q478" s="98">
        <f t="shared" si="420"/>
        <v>572.8125</v>
      </c>
      <c r="R478" s="119"/>
    </row>
    <row r="479" spans="1:18" x14ac:dyDescent="0.3">
      <c r="A479" s="86" t="str">
        <f>IF(TRIM(H479)&lt;&gt;"",COUNTA(H$9:$H479)&amp;"","")</f>
        <v>327</v>
      </c>
      <c r="B479" s="87" t="s">
        <v>536</v>
      </c>
      <c r="C479" s="87" t="s">
        <v>536</v>
      </c>
      <c r="D479" s="88"/>
      <c r="E479" s="89" t="s">
        <v>611</v>
      </c>
      <c r="F479" s="90">
        <v>1</v>
      </c>
      <c r="H479" s="91" t="s">
        <v>239</v>
      </c>
      <c r="I479" s="92">
        <f t="shared" si="421"/>
        <v>0</v>
      </c>
      <c r="J479" s="93">
        <f t="shared" si="415"/>
        <v>1</v>
      </c>
      <c r="K479" s="94">
        <v>120</v>
      </c>
      <c r="L479" s="95">
        <f t="shared" si="416"/>
        <v>120</v>
      </c>
      <c r="M479" s="96">
        <f t="shared" si="417"/>
        <v>75</v>
      </c>
      <c r="N479" s="97">
        <v>0.75</v>
      </c>
      <c r="O479" s="97">
        <f t="shared" si="418"/>
        <v>0.75</v>
      </c>
      <c r="P479" s="95">
        <f t="shared" si="419"/>
        <v>56.25</v>
      </c>
      <c r="Q479" s="98">
        <f t="shared" si="420"/>
        <v>176.25</v>
      </c>
      <c r="R479" s="119"/>
    </row>
    <row r="480" spans="1:18" x14ac:dyDescent="0.3">
      <c r="A480" s="86" t="str">
        <f>IF(TRIM(H480)&lt;&gt;"",COUNTA(H$9:$H480)&amp;"","")</f>
        <v/>
      </c>
      <c r="B480" s="87"/>
      <c r="C480" s="87"/>
      <c r="D480" s="88"/>
      <c r="E480" s="100" t="s">
        <v>549</v>
      </c>
      <c r="F480" s="90"/>
      <c r="H480" s="91"/>
      <c r="I480" s="92"/>
      <c r="J480" s="93"/>
      <c r="K480" s="94" t="s">
        <v>549</v>
      </c>
      <c r="L480" s="95"/>
      <c r="M480" s="96"/>
      <c r="N480" s="97" t="s">
        <v>549</v>
      </c>
      <c r="O480" s="97"/>
      <c r="P480" s="95"/>
      <c r="Q480" s="98"/>
      <c r="R480" s="119"/>
    </row>
    <row r="481" spans="1:18" x14ac:dyDescent="0.3">
      <c r="A481" s="86" t="str">
        <f>IF(TRIM(H481)&lt;&gt;"",COUNTA(H$9:$H481)&amp;"","")</f>
        <v/>
      </c>
      <c r="B481" s="87"/>
      <c r="C481" s="87"/>
      <c r="D481" s="88"/>
      <c r="E481" s="125" t="s">
        <v>612</v>
      </c>
      <c r="F481" s="90"/>
      <c r="H481" s="91"/>
      <c r="I481" s="92" t="str">
        <f>IF(F481=0,"",0)</f>
        <v/>
      </c>
      <c r="J481" s="93" t="str">
        <f>IF(F481=0,"",F481+(F481*I481))</f>
        <v/>
      </c>
      <c r="K481" s="94" t="s">
        <v>549</v>
      </c>
      <c r="L481" s="95" t="str">
        <f>IF(F481=0,"",K481*J481)</f>
        <v/>
      </c>
      <c r="M481" s="96" t="str">
        <f>IF(F481=0,"",M$7)</f>
        <v/>
      </c>
      <c r="N481" s="97" t="s">
        <v>549</v>
      </c>
      <c r="O481" s="97" t="str">
        <f>IF(F481=0,"",N481*J481)</f>
        <v/>
      </c>
      <c r="P481" s="95" t="str">
        <f>IF(F481=0,"",O481*M481)</f>
        <v/>
      </c>
      <c r="Q481" s="98" t="str">
        <f>IF(F481=0,"",L481+P481)</f>
        <v/>
      </c>
      <c r="R481" s="119"/>
    </row>
    <row r="482" spans="1:18" x14ac:dyDescent="0.3">
      <c r="A482" s="86" t="str">
        <f>IF(TRIM(H482)&lt;&gt;"",COUNTA(H$9:$H482)&amp;"","")</f>
        <v>328</v>
      </c>
      <c r="B482" s="87" t="s">
        <v>613</v>
      </c>
      <c r="C482" s="87" t="s">
        <v>613</v>
      </c>
      <c r="D482" s="88"/>
      <c r="E482" s="89" t="s">
        <v>614</v>
      </c>
      <c r="F482" s="90">
        <v>115.87</v>
      </c>
      <c r="H482" s="91" t="s">
        <v>210</v>
      </c>
      <c r="I482" s="92">
        <v>0.1</v>
      </c>
      <c r="J482" s="93">
        <f t="shared" ref="J482:J597" si="422">IF(F482=0,"",F482+(F482*I482))</f>
        <v>127.45700000000001</v>
      </c>
      <c r="K482" s="94">
        <v>16.799999999999997</v>
      </c>
      <c r="L482" s="95">
        <f t="shared" ref="L482:L597" si="423">IF(F482=0,"",K482*J482)</f>
        <v>2141.2775999999999</v>
      </c>
      <c r="M482" s="96">
        <f t="shared" ref="M482:M597" si="424">IF(F482=0,"",M$7)</f>
        <v>75</v>
      </c>
      <c r="N482" s="97">
        <v>0.28000000000000003</v>
      </c>
      <c r="O482" s="97">
        <f t="shared" ref="O482:O597" si="425">IF(F482=0,"",N482*J482)</f>
        <v>35.687960000000004</v>
      </c>
      <c r="P482" s="95">
        <f t="shared" ref="P482:P597" si="426">IF(F482=0,"",O482*M482)</f>
        <v>2676.5970000000002</v>
      </c>
      <c r="Q482" s="98">
        <f t="shared" ref="Q482:Q597" si="427">IF(F482=0,"",L482+P482)</f>
        <v>4817.8746000000001</v>
      </c>
      <c r="R482" s="119"/>
    </row>
    <row r="483" spans="1:18" x14ac:dyDescent="0.3">
      <c r="A483" s="86" t="str">
        <f>IF(TRIM(H483)&lt;&gt;"",COUNTA(H$9:$H483)&amp;"","")</f>
        <v>329</v>
      </c>
      <c r="B483" s="87" t="s">
        <v>613</v>
      </c>
      <c r="C483" s="87" t="s">
        <v>613</v>
      </c>
      <c r="D483" s="88"/>
      <c r="E483" s="89" t="s">
        <v>615</v>
      </c>
      <c r="F483" s="90">
        <v>30.9</v>
      </c>
      <c r="H483" s="91" t="s">
        <v>210</v>
      </c>
      <c r="I483" s="92">
        <v>0.1</v>
      </c>
      <c r="J483" s="93">
        <f t="shared" si="422"/>
        <v>33.989999999999995</v>
      </c>
      <c r="K483" s="94">
        <v>16.799999999999997</v>
      </c>
      <c r="L483" s="95">
        <f t="shared" si="423"/>
        <v>571.03199999999981</v>
      </c>
      <c r="M483" s="96">
        <f t="shared" si="424"/>
        <v>75</v>
      </c>
      <c r="N483" s="97">
        <v>0.28000000000000003</v>
      </c>
      <c r="O483" s="97">
        <f t="shared" si="425"/>
        <v>9.517199999999999</v>
      </c>
      <c r="P483" s="95">
        <f t="shared" si="426"/>
        <v>713.79</v>
      </c>
      <c r="Q483" s="98">
        <f t="shared" si="427"/>
        <v>1284.8219999999997</v>
      </c>
      <c r="R483" s="119"/>
    </row>
    <row r="484" spans="1:18" x14ac:dyDescent="0.3">
      <c r="A484" s="86" t="str">
        <f>IF(TRIM(H484)&lt;&gt;"",COUNTA(H$9:$H484)&amp;"","")</f>
        <v>330</v>
      </c>
      <c r="B484" s="87" t="s">
        <v>613</v>
      </c>
      <c r="C484" s="87" t="s">
        <v>613</v>
      </c>
      <c r="D484" s="88"/>
      <c r="E484" s="89" t="s">
        <v>616</v>
      </c>
      <c r="F484" s="90">
        <v>729.39</v>
      </c>
      <c r="H484" s="91" t="s">
        <v>210</v>
      </c>
      <c r="I484" s="92">
        <v>0.1</v>
      </c>
      <c r="J484" s="93">
        <f t="shared" si="422"/>
        <v>802.32899999999995</v>
      </c>
      <c r="K484" s="94">
        <v>16.799999999999997</v>
      </c>
      <c r="L484" s="95">
        <f t="shared" si="423"/>
        <v>13479.127199999997</v>
      </c>
      <c r="M484" s="96">
        <f t="shared" si="424"/>
        <v>75</v>
      </c>
      <c r="N484" s="97">
        <v>0.28000000000000003</v>
      </c>
      <c r="O484" s="97">
        <f t="shared" si="425"/>
        <v>224.65212</v>
      </c>
      <c r="P484" s="95">
        <f t="shared" si="426"/>
        <v>16848.909</v>
      </c>
      <c r="Q484" s="98">
        <f t="shared" si="427"/>
        <v>30328.036199999995</v>
      </c>
      <c r="R484" s="119"/>
    </row>
    <row r="485" spans="1:18" x14ac:dyDescent="0.3">
      <c r="A485" s="86" t="str">
        <f>IF(TRIM(H485)&lt;&gt;"",COUNTA(H$9:$H485)&amp;"","")</f>
        <v>331</v>
      </c>
      <c r="B485" s="87" t="s">
        <v>613</v>
      </c>
      <c r="C485" s="87" t="s">
        <v>613</v>
      </c>
      <c r="D485" s="88"/>
      <c r="E485" s="89" t="s">
        <v>617</v>
      </c>
      <c r="F485" s="90">
        <v>72.41</v>
      </c>
      <c r="H485" s="91" t="s">
        <v>210</v>
      </c>
      <c r="I485" s="92">
        <v>0.1</v>
      </c>
      <c r="J485" s="93">
        <f t="shared" si="422"/>
        <v>79.650999999999996</v>
      </c>
      <c r="K485" s="94">
        <v>25.2</v>
      </c>
      <c r="L485" s="95">
        <f t="shared" si="423"/>
        <v>2007.2051999999999</v>
      </c>
      <c r="M485" s="96">
        <f t="shared" si="424"/>
        <v>75</v>
      </c>
      <c r="N485" s="97">
        <v>0.42000000000000004</v>
      </c>
      <c r="O485" s="97">
        <f t="shared" si="425"/>
        <v>33.453420000000001</v>
      </c>
      <c r="P485" s="95">
        <f t="shared" si="426"/>
        <v>2509.0065</v>
      </c>
      <c r="Q485" s="98">
        <f t="shared" si="427"/>
        <v>4516.2116999999998</v>
      </c>
      <c r="R485" s="119"/>
    </row>
    <row r="486" spans="1:18" x14ac:dyDescent="0.3">
      <c r="A486" s="86" t="str">
        <f>IF(TRIM(H486)&lt;&gt;"",COUNTA(H$9:$H486)&amp;"","")</f>
        <v>332</v>
      </c>
      <c r="B486" s="87" t="s">
        <v>613</v>
      </c>
      <c r="C486" s="87" t="s">
        <v>613</v>
      </c>
      <c r="D486" s="88"/>
      <c r="E486" s="89" t="s">
        <v>618</v>
      </c>
      <c r="F486" s="90">
        <v>390.89</v>
      </c>
      <c r="H486" s="91" t="s">
        <v>210</v>
      </c>
      <c r="I486" s="92">
        <v>0.1</v>
      </c>
      <c r="J486" s="93">
        <f t="shared" si="422"/>
        <v>429.97899999999998</v>
      </c>
      <c r="K486" s="94">
        <v>25.2</v>
      </c>
      <c r="L486" s="95">
        <f t="shared" si="423"/>
        <v>10835.470799999999</v>
      </c>
      <c r="M486" s="96">
        <f t="shared" si="424"/>
        <v>75</v>
      </c>
      <c r="N486" s="97">
        <v>0.42000000000000004</v>
      </c>
      <c r="O486" s="97">
        <f t="shared" si="425"/>
        <v>180.59118000000001</v>
      </c>
      <c r="P486" s="95">
        <f t="shared" si="426"/>
        <v>13544.3385</v>
      </c>
      <c r="Q486" s="98">
        <f t="shared" si="427"/>
        <v>24379.809300000001</v>
      </c>
      <c r="R486" s="119"/>
    </row>
    <row r="487" spans="1:18" x14ac:dyDescent="0.3">
      <c r="A487" s="86" t="str">
        <f>IF(TRIM(H487)&lt;&gt;"",COUNTA(H$9:$H487)&amp;"","")</f>
        <v>333</v>
      </c>
      <c r="B487" s="87" t="s">
        <v>613</v>
      </c>
      <c r="C487" s="87" t="s">
        <v>613</v>
      </c>
      <c r="D487" s="88"/>
      <c r="E487" s="89" t="s">
        <v>619</v>
      </c>
      <c r="F487" s="90">
        <v>193.08</v>
      </c>
      <c r="H487" s="91" t="s">
        <v>210</v>
      </c>
      <c r="I487" s="92">
        <v>0.1</v>
      </c>
      <c r="J487" s="93">
        <f t="shared" si="422"/>
        <v>212.38800000000001</v>
      </c>
      <c r="K487" s="94">
        <v>25.2</v>
      </c>
      <c r="L487" s="95">
        <f t="shared" si="423"/>
        <v>5352.1776</v>
      </c>
      <c r="M487" s="96">
        <f t="shared" si="424"/>
        <v>75</v>
      </c>
      <c r="N487" s="97">
        <v>0.42000000000000004</v>
      </c>
      <c r="O487" s="97">
        <f t="shared" si="425"/>
        <v>89.202960000000004</v>
      </c>
      <c r="P487" s="95">
        <f t="shared" si="426"/>
        <v>6690.2220000000007</v>
      </c>
      <c r="Q487" s="98">
        <f t="shared" si="427"/>
        <v>12042.399600000001</v>
      </c>
      <c r="R487" s="119"/>
    </row>
    <row r="488" spans="1:18" x14ac:dyDescent="0.3">
      <c r="A488" s="86" t="str">
        <f>IF(TRIM(H488)&lt;&gt;"",COUNTA(H$9:$H488)&amp;"","")</f>
        <v>334</v>
      </c>
      <c r="B488" s="87" t="s">
        <v>613</v>
      </c>
      <c r="C488" s="87" t="s">
        <v>613</v>
      </c>
      <c r="D488" s="88"/>
      <c r="E488" s="89" t="s">
        <v>620</v>
      </c>
      <c r="F488" s="90">
        <v>488.27</v>
      </c>
      <c r="H488" s="91" t="s">
        <v>210</v>
      </c>
      <c r="I488" s="92">
        <v>0.1</v>
      </c>
      <c r="J488" s="93">
        <f t="shared" si="422"/>
        <v>537.09699999999998</v>
      </c>
      <c r="K488" s="94">
        <v>28.799999999999997</v>
      </c>
      <c r="L488" s="95">
        <f t="shared" si="423"/>
        <v>15468.393599999998</v>
      </c>
      <c r="M488" s="96">
        <f t="shared" si="424"/>
        <v>75</v>
      </c>
      <c r="N488" s="97">
        <v>0.48000000000000009</v>
      </c>
      <c r="O488" s="97">
        <f t="shared" si="425"/>
        <v>257.80656000000005</v>
      </c>
      <c r="P488" s="95">
        <f t="shared" si="426"/>
        <v>19335.492000000002</v>
      </c>
      <c r="Q488" s="98">
        <f t="shared" si="427"/>
        <v>34803.885600000001</v>
      </c>
      <c r="R488" s="119"/>
    </row>
    <row r="489" spans="1:18" x14ac:dyDescent="0.3">
      <c r="A489" s="86" t="str">
        <f>IF(TRIM(H489)&lt;&gt;"",COUNTA(H$9:$H489)&amp;"","")</f>
        <v>335</v>
      </c>
      <c r="B489" s="87" t="s">
        <v>613</v>
      </c>
      <c r="C489" s="87" t="s">
        <v>613</v>
      </c>
      <c r="D489" s="88"/>
      <c r="E489" s="89" t="s">
        <v>621</v>
      </c>
      <c r="F489" s="90">
        <v>30</v>
      </c>
      <c r="H489" s="91" t="s">
        <v>210</v>
      </c>
      <c r="I489" s="92">
        <v>0.1</v>
      </c>
      <c r="J489" s="93">
        <f t="shared" si="422"/>
        <v>33</v>
      </c>
      <c r="K489" s="94">
        <v>28.799999999999997</v>
      </c>
      <c r="L489" s="95">
        <f t="shared" si="423"/>
        <v>950.39999999999986</v>
      </c>
      <c r="M489" s="96">
        <f t="shared" si="424"/>
        <v>75</v>
      </c>
      <c r="N489" s="97">
        <v>0.48000000000000009</v>
      </c>
      <c r="O489" s="97">
        <f t="shared" si="425"/>
        <v>15.840000000000003</v>
      </c>
      <c r="P489" s="95">
        <f t="shared" si="426"/>
        <v>1188.0000000000002</v>
      </c>
      <c r="Q489" s="98">
        <f t="shared" si="427"/>
        <v>2138.4</v>
      </c>
      <c r="R489" s="119"/>
    </row>
    <row r="490" spans="1:18" x14ac:dyDescent="0.3">
      <c r="A490" s="86" t="str">
        <f>IF(TRIM(H490)&lt;&gt;"",COUNTA(H$9:$H490)&amp;"","")</f>
        <v>336</v>
      </c>
      <c r="B490" s="87" t="s">
        <v>613</v>
      </c>
      <c r="C490" s="87" t="s">
        <v>613</v>
      </c>
      <c r="D490" s="88"/>
      <c r="E490" s="89" t="s">
        <v>622</v>
      </c>
      <c r="F490" s="90">
        <v>61.91</v>
      </c>
      <c r="H490" s="91" t="s">
        <v>210</v>
      </c>
      <c r="I490" s="92">
        <v>0.1</v>
      </c>
      <c r="J490" s="93">
        <f t="shared" si="422"/>
        <v>68.100999999999999</v>
      </c>
      <c r="K490" s="94">
        <v>38.4</v>
      </c>
      <c r="L490" s="95">
        <f t="shared" si="423"/>
        <v>2615.0783999999999</v>
      </c>
      <c r="M490" s="96">
        <f t="shared" si="424"/>
        <v>75</v>
      </c>
      <c r="N490" s="97">
        <v>0.64</v>
      </c>
      <c r="O490" s="97">
        <f t="shared" si="425"/>
        <v>43.58464</v>
      </c>
      <c r="P490" s="95">
        <f t="shared" si="426"/>
        <v>3268.848</v>
      </c>
      <c r="Q490" s="98">
        <f t="shared" si="427"/>
        <v>5883.9264000000003</v>
      </c>
      <c r="R490" s="119"/>
    </row>
    <row r="491" spans="1:18" x14ac:dyDescent="0.3">
      <c r="A491" s="86" t="str">
        <f>IF(TRIM(H491)&lt;&gt;"",COUNTA(H$9:$H491)&amp;"","")</f>
        <v>337</v>
      </c>
      <c r="B491" s="87" t="s">
        <v>613</v>
      </c>
      <c r="C491" s="87" t="s">
        <v>613</v>
      </c>
      <c r="D491" s="88"/>
      <c r="E491" s="89" t="s">
        <v>622</v>
      </c>
      <c r="F491" s="90">
        <v>54.51</v>
      </c>
      <c r="H491" s="91" t="s">
        <v>210</v>
      </c>
      <c r="I491" s="92">
        <v>0.1</v>
      </c>
      <c r="J491" s="93">
        <f t="shared" si="422"/>
        <v>59.960999999999999</v>
      </c>
      <c r="K491" s="94">
        <v>38.4</v>
      </c>
      <c r="L491" s="95">
        <f t="shared" si="423"/>
        <v>2302.5023999999999</v>
      </c>
      <c r="M491" s="96">
        <f t="shared" si="424"/>
        <v>75</v>
      </c>
      <c r="N491" s="97">
        <v>0.64</v>
      </c>
      <c r="O491" s="97">
        <f t="shared" si="425"/>
        <v>38.375039999999998</v>
      </c>
      <c r="P491" s="95">
        <f t="shared" si="426"/>
        <v>2878.1279999999997</v>
      </c>
      <c r="Q491" s="98">
        <f t="shared" si="427"/>
        <v>5180.6304</v>
      </c>
      <c r="R491" s="119"/>
    </row>
    <row r="492" spans="1:18" x14ac:dyDescent="0.3">
      <c r="A492" s="86" t="str">
        <f>IF(TRIM(H492)&lt;&gt;"",COUNTA(H$9:$H492)&amp;"","")</f>
        <v>338</v>
      </c>
      <c r="B492" s="87" t="s">
        <v>613</v>
      </c>
      <c r="C492" s="87" t="s">
        <v>613</v>
      </c>
      <c r="D492" s="88"/>
      <c r="E492" s="89" t="s">
        <v>623</v>
      </c>
      <c r="F492" s="90">
        <v>5</v>
      </c>
      <c r="H492" s="91" t="s">
        <v>210</v>
      </c>
      <c r="I492" s="92">
        <v>0.1</v>
      </c>
      <c r="J492" s="93">
        <f t="shared" si="422"/>
        <v>5.5</v>
      </c>
      <c r="K492" s="94">
        <v>52.8</v>
      </c>
      <c r="L492" s="95">
        <f t="shared" si="423"/>
        <v>290.39999999999998</v>
      </c>
      <c r="M492" s="96">
        <f t="shared" si="424"/>
        <v>75</v>
      </c>
      <c r="N492" s="97">
        <v>0.88000000000000012</v>
      </c>
      <c r="O492" s="97">
        <f t="shared" si="425"/>
        <v>4.8400000000000007</v>
      </c>
      <c r="P492" s="95">
        <f t="shared" si="426"/>
        <v>363.00000000000006</v>
      </c>
      <c r="Q492" s="98">
        <f t="shared" si="427"/>
        <v>653.40000000000009</v>
      </c>
      <c r="R492" s="119"/>
    </row>
    <row r="493" spans="1:18" x14ac:dyDescent="0.3">
      <c r="A493" s="86" t="str">
        <f>IF(TRIM(H493)&lt;&gt;"",COUNTA(H$9:$H493)&amp;"","")</f>
        <v/>
      </c>
      <c r="B493" s="87"/>
      <c r="C493" s="87"/>
      <c r="D493" s="88"/>
      <c r="E493" s="89" t="s">
        <v>549</v>
      </c>
      <c r="F493" s="90"/>
      <c r="H493" s="91"/>
      <c r="I493" s="92" t="str">
        <f t="shared" ref="I493:I523" si="428">IF(F493=0,"",0)</f>
        <v/>
      </c>
      <c r="J493" s="93" t="str">
        <f t="shared" si="422"/>
        <v/>
      </c>
      <c r="K493" s="94" t="s">
        <v>549</v>
      </c>
      <c r="L493" s="95" t="str">
        <f t="shared" si="423"/>
        <v/>
      </c>
      <c r="M493" s="96" t="str">
        <f t="shared" si="424"/>
        <v/>
      </c>
      <c r="N493" s="97" t="s">
        <v>549</v>
      </c>
      <c r="O493" s="97" t="str">
        <f t="shared" si="425"/>
        <v/>
      </c>
      <c r="P493" s="95" t="str">
        <f t="shared" si="426"/>
        <v/>
      </c>
      <c r="Q493" s="98" t="str">
        <f t="shared" si="427"/>
        <v/>
      </c>
      <c r="R493" s="119"/>
    </row>
    <row r="494" spans="1:18" x14ac:dyDescent="0.3">
      <c r="A494" s="86" t="str">
        <f>IF(TRIM(H494)&lt;&gt;"",COUNTA(H$9:$H494)&amp;"","")</f>
        <v/>
      </c>
      <c r="B494" s="87"/>
      <c r="C494" s="87"/>
      <c r="D494" s="88"/>
      <c r="E494" s="125" t="s">
        <v>550</v>
      </c>
      <c r="F494" s="90"/>
      <c r="H494" s="91"/>
      <c r="I494" s="92" t="str">
        <f t="shared" si="428"/>
        <v/>
      </c>
      <c r="J494" s="93" t="str">
        <f t="shared" si="422"/>
        <v/>
      </c>
      <c r="K494" s="94" t="s">
        <v>549</v>
      </c>
      <c r="L494" s="95" t="str">
        <f t="shared" si="423"/>
        <v/>
      </c>
      <c r="M494" s="96" t="str">
        <f t="shared" si="424"/>
        <v/>
      </c>
      <c r="N494" s="97" t="s">
        <v>549</v>
      </c>
      <c r="O494" s="97" t="str">
        <f t="shared" si="425"/>
        <v/>
      </c>
      <c r="P494" s="95" t="str">
        <f t="shared" si="426"/>
        <v/>
      </c>
      <c r="Q494" s="98" t="str">
        <f t="shared" si="427"/>
        <v/>
      </c>
      <c r="R494" s="119"/>
    </row>
    <row r="495" spans="1:18" x14ac:dyDescent="0.3">
      <c r="A495" s="86" t="str">
        <f>IF(TRIM(H495)&lt;&gt;"",COUNTA(H$9:$H495)&amp;"","")</f>
        <v>339</v>
      </c>
      <c r="B495" s="87" t="s">
        <v>613</v>
      </c>
      <c r="C495" s="87" t="s">
        <v>613</v>
      </c>
      <c r="D495" s="88"/>
      <c r="E495" s="89" t="s">
        <v>624</v>
      </c>
      <c r="F495" s="90">
        <v>17</v>
      </c>
      <c r="H495" s="91" t="s">
        <v>239</v>
      </c>
      <c r="I495" s="92">
        <f t="shared" si="428"/>
        <v>0</v>
      </c>
      <c r="J495" s="93">
        <f t="shared" si="422"/>
        <v>17</v>
      </c>
      <c r="K495" s="94">
        <v>10</v>
      </c>
      <c r="L495" s="95">
        <f t="shared" si="423"/>
        <v>170</v>
      </c>
      <c r="M495" s="96">
        <f t="shared" si="424"/>
        <v>75</v>
      </c>
      <c r="N495" s="97">
        <v>6.25E-2</v>
      </c>
      <c r="O495" s="97">
        <f t="shared" si="425"/>
        <v>1.0625</v>
      </c>
      <c r="P495" s="95">
        <f t="shared" si="426"/>
        <v>79.6875</v>
      </c>
      <c r="Q495" s="98">
        <f t="shared" si="427"/>
        <v>249.6875</v>
      </c>
      <c r="R495" s="119"/>
    </row>
    <row r="496" spans="1:18" x14ac:dyDescent="0.3">
      <c r="A496" s="86" t="str">
        <f>IF(TRIM(H496)&lt;&gt;"",COUNTA(H$9:$H496)&amp;"","")</f>
        <v>340</v>
      </c>
      <c r="B496" s="87" t="s">
        <v>613</v>
      </c>
      <c r="C496" s="87" t="s">
        <v>613</v>
      </c>
      <c r="D496" s="88"/>
      <c r="E496" s="89" t="s">
        <v>555</v>
      </c>
      <c r="F496" s="90">
        <v>66</v>
      </c>
      <c r="H496" s="91" t="s">
        <v>239</v>
      </c>
      <c r="I496" s="92">
        <f t="shared" si="428"/>
        <v>0</v>
      </c>
      <c r="J496" s="93">
        <f t="shared" si="422"/>
        <v>66</v>
      </c>
      <c r="K496" s="94">
        <v>10.4</v>
      </c>
      <c r="L496" s="95">
        <f t="shared" si="423"/>
        <v>686.4</v>
      </c>
      <c r="M496" s="96">
        <f t="shared" si="424"/>
        <v>75</v>
      </c>
      <c r="N496" s="97">
        <v>6.5000000000000002E-2</v>
      </c>
      <c r="O496" s="97">
        <f t="shared" si="425"/>
        <v>4.29</v>
      </c>
      <c r="P496" s="95">
        <f t="shared" si="426"/>
        <v>321.75</v>
      </c>
      <c r="Q496" s="98">
        <f t="shared" si="427"/>
        <v>1008.15</v>
      </c>
      <c r="R496" s="119"/>
    </row>
    <row r="497" spans="1:18" x14ac:dyDescent="0.3">
      <c r="A497" s="86" t="str">
        <f>IF(TRIM(H497)&lt;&gt;"",COUNTA(H$9:$H497)&amp;"","")</f>
        <v>341</v>
      </c>
      <c r="B497" s="87" t="s">
        <v>613</v>
      </c>
      <c r="C497" s="87" t="s">
        <v>613</v>
      </c>
      <c r="D497" s="88"/>
      <c r="E497" s="89" t="s">
        <v>625</v>
      </c>
      <c r="F497" s="90">
        <v>70</v>
      </c>
      <c r="H497" s="91" t="s">
        <v>239</v>
      </c>
      <c r="I497" s="92">
        <f t="shared" si="428"/>
        <v>0</v>
      </c>
      <c r="J497" s="93">
        <f t="shared" si="422"/>
        <v>70</v>
      </c>
      <c r="K497" s="94">
        <v>12</v>
      </c>
      <c r="L497" s="95">
        <f t="shared" si="423"/>
        <v>840</v>
      </c>
      <c r="M497" s="96">
        <f t="shared" si="424"/>
        <v>75</v>
      </c>
      <c r="N497" s="97">
        <v>7.4999999999999997E-2</v>
      </c>
      <c r="O497" s="97">
        <f t="shared" si="425"/>
        <v>5.25</v>
      </c>
      <c r="P497" s="95">
        <f t="shared" si="426"/>
        <v>393.75</v>
      </c>
      <c r="Q497" s="98">
        <f t="shared" si="427"/>
        <v>1233.75</v>
      </c>
      <c r="R497" s="119"/>
    </row>
    <row r="498" spans="1:18" x14ac:dyDescent="0.3">
      <c r="A498" s="86" t="str">
        <f>IF(TRIM(H498)&lt;&gt;"",COUNTA(H$9:$H498)&amp;"","")</f>
        <v>342</v>
      </c>
      <c r="B498" s="87" t="s">
        <v>613</v>
      </c>
      <c r="C498" s="87" t="s">
        <v>613</v>
      </c>
      <c r="D498" s="88"/>
      <c r="E498" s="89" t="s">
        <v>557</v>
      </c>
      <c r="F498" s="90">
        <v>27</v>
      </c>
      <c r="H498" s="91" t="s">
        <v>239</v>
      </c>
      <c r="I498" s="92">
        <f t="shared" si="428"/>
        <v>0</v>
      </c>
      <c r="J498" s="93">
        <f t="shared" si="422"/>
        <v>27</v>
      </c>
      <c r="K498" s="94">
        <v>12</v>
      </c>
      <c r="L498" s="95">
        <f t="shared" si="423"/>
        <v>324</v>
      </c>
      <c r="M498" s="96">
        <f t="shared" si="424"/>
        <v>75</v>
      </c>
      <c r="N498" s="97">
        <v>7.4999999999999997E-2</v>
      </c>
      <c r="O498" s="97">
        <f t="shared" si="425"/>
        <v>2.0249999999999999</v>
      </c>
      <c r="P498" s="95">
        <f t="shared" si="426"/>
        <v>151.875</v>
      </c>
      <c r="Q498" s="98">
        <f t="shared" si="427"/>
        <v>475.875</v>
      </c>
      <c r="R498" s="119"/>
    </row>
    <row r="499" spans="1:18" x14ac:dyDescent="0.3">
      <c r="A499" s="86" t="str">
        <f>IF(TRIM(H499)&lt;&gt;"",COUNTA(H$9:$H499)&amp;"","")</f>
        <v>343</v>
      </c>
      <c r="B499" s="87" t="s">
        <v>613</v>
      </c>
      <c r="C499" s="87" t="s">
        <v>613</v>
      </c>
      <c r="D499" s="88"/>
      <c r="E499" s="89" t="s">
        <v>626</v>
      </c>
      <c r="F499" s="90">
        <v>52</v>
      </c>
      <c r="H499" s="91" t="s">
        <v>239</v>
      </c>
      <c r="I499" s="92">
        <f t="shared" si="428"/>
        <v>0</v>
      </c>
      <c r="J499" s="93">
        <f t="shared" si="422"/>
        <v>52</v>
      </c>
      <c r="K499" s="94">
        <v>13.6</v>
      </c>
      <c r="L499" s="95">
        <f t="shared" si="423"/>
        <v>707.19999999999993</v>
      </c>
      <c r="M499" s="96">
        <f t="shared" si="424"/>
        <v>75</v>
      </c>
      <c r="N499" s="97">
        <v>8.5000000000000006E-2</v>
      </c>
      <c r="O499" s="97">
        <f t="shared" si="425"/>
        <v>4.42</v>
      </c>
      <c r="P499" s="95">
        <f t="shared" si="426"/>
        <v>331.5</v>
      </c>
      <c r="Q499" s="98">
        <f t="shared" si="427"/>
        <v>1038.6999999999998</v>
      </c>
      <c r="R499" s="119"/>
    </row>
    <row r="500" spans="1:18" x14ac:dyDescent="0.3">
      <c r="A500" s="86" t="str">
        <f>IF(TRIM(H500)&lt;&gt;"",COUNTA(H$9:$H500)&amp;"","")</f>
        <v>344</v>
      </c>
      <c r="B500" s="87" t="s">
        <v>613</v>
      </c>
      <c r="C500" s="87" t="s">
        <v>613</v>
      </c>
      <c r="D500" s="88"/>
      <c r="E500" s="89" t="s">
        <v>627</v>
      </c>
      <c r="F500" s="90">
        <v>14</v>
      </c>
      <c r="H500" s="91" t="s">
        <v>239</v>
      </c>
      <c r="I500" s="92">
        <f t="shared" si="428"/>
        <v>0</v>
      </c>
      <c r="J500" s="93">
        <f t="shared" si="422"/>
        <v>14</v>
      </c>
      <c r="K500" s="94">
        <v>16.8</v>
      </c>
      <c r="L500" s="95">
        <f t="shared" si="423"/>
        <v>235.20000000000002</v>
      </c>
      <c r="M500" s="96">
        <f t="shared" si="424"/>
        <v>75</v>
      </c>
      <c r="N500" s="97">
        <v>0.10500000000000001</v>
      </c>
      <c r="O500" s="97">
        <f t="shared" si="425"/>
        <v>1.4700000000000002</v>
      </c>
      <c r="P500" s="95">
        <f t="shared" si="426"/>
        <v>110.25000000000001</v>
      </c>
      <c r="Q500" s="98">
        <f t="shared" si="427"/>
        <v>345.45000000000005</v>
      </c>
      <c r="R500" s="119"/>
    </row>
    <row r="501" spans="1:18" x14ac:dyDescent="0.3">
      <c r="A501" s="86" t="str">
        <f>IF(TRIM(H501)&lt;&gt;"",COUNTA(H$9:$H501)&amp;"","")</f>
        <v>345</v>
      </c>
      <c r="B501" s="87" t="s">
        <v>613</v>
      </c>
      <c r="C501" s="87" t="s">
        <v>613</v>
      </c>
      <c r="D501" s="88"/>
      <c r="E501" s="89" t="s">
        <v>564</v>
      </c>
      <c r="F501" s="90">
        <v>18</v>
      </c>
      <c r="H501" s="91" t="s">
        <v>239</v>
      </c>
      <c r="I501" s="92">
        <f t="shared" si="428"/>
        <v>0</v>
      </c>
      <c r="J501" s="93">
        <f t="shared" si="422"/>
        <v>18</v>
      </c>
      <c r="K501" s="94">
        <v>10.4</v>
      </c>
      <c r="L501" s="95">
        <f t="shared" si="423"/>
        <v>187.20000000000002</v>
      </c>
      <c r="M501" s="96">
        <f t="shared" si="424"/>
        <v>75</v>
      </c>
      <c r="N501" s="97">
        <v>6.5000000000000002E-2</v>
      </c>
      <c r="O501" s="97">
        <f t="shared" si="425"/>
        <v>1.17</v>
      </c>
      <c r="P501" s="95">
        <f t="shared" si="426"/>
        <v>87.75</v>
      </c>
      <c r="Q501" s="98">
        <f t="shared" si="427"/>
        <v>274.95000000000005</v>
      </c>
      <c r="R501" s="119"/>
    </row>
    <row r="502" spans="1:18" x14ac:dyDescent="0.3">
      <c r="A502" s="86" t="str">
        <f>IF(TRIM(H502)&lt;&gt;"",COUNTA(H$9:$H502)&amp;"","")</f>
        <v>346</v>
      </c>
      <c r="B502" s="87" t="s">
        <v>613</v>
      </c>
      <c r="C502" s="87" t="s">
        <v>613</v>
      </c>
      <c r="D502" s="88"/>
      <c r="E502" s="89" t="s">
        <v>628</v>
      </c>
      <c r="F502" s="90">
        <v>15</v>
      </c>
      <c r="H502" s="91" t="s">
        <v>239</v>
      </c>
      <c r="I502" s="92">
        <f t="shared" si="428"/>
        <v>0</v>
      </c>
      <c r="J502" s="93">
        <f t="shared" si="422"/>
        <v>15</v>
      </c>
      <c r="K502" s="94">
        <v>11.2</v>
      </c>
      <c r="L502" s="95">
        <f t="shared" si="423"/>
        <v>168</v>
      </c>
      <c r="M502" s="96">
        <f t="shared" si="424"/>
        <v>75</v>
      </c>
      <c r="N502" s="97">
        <v>7.0000000000000007E-2</v>
      </c>
      <c r="O502" s="97">
        <f t="shared" si="425"/>
        <v>1.05</v>
      </c>
      <c r="P502" s="95">
        <f t="shared" si="426"/>
        <v>78.75</v>
      </c>
      <c r="Q502" s="98">
        <f t="shared" si="427"/>
        <v>246.75</v>
      </c>
      <c r="R502" s="119"/>
    </row>
    <row r="503" spans="1:18" x14ac:dyDescent="0.3">
      <c r="A503" s="86" t="str">
        <f>IF(TRIM(H503)&lt;&gt;"",COUNTA(H$9:$H503)&amp;"","")</f>
        <v>347</v>
      </c>
      <c r="B503" s="87" t="s">
        <v>613</v>
      </c>
      <c r="C503" s="87" t="s">
        <v>613</v>
      </c>
      <c r="D503" s="88"/>
      <c r="E503" s="89" t="s">
        <v>629</v>
      </c>
      <c r="F503" s="90">
        <v>3</v>
      </c>
      <c r="H503" s="91" t="s">
        <v>239</v>
      </c>
      <c r="I503" s="92">
        <f t="shared" si="428"/>
        <v>0</v>
      </c>
      <c r="J503" s="93">
        <f t="shared" si="422"/>
        <v>3</v>
      </c>
      <c r="K503" s="94">
        <v>12.8</v>
      </c>
      <c r="L503" s="95">
        <f t="shared" si="423"/>
        <v>38.400000000000006</v>
      </c>
      <c r="M503" s="96">
        <f t="shared" si="424"/>
        <v>75</v>
      </c>
      <c r="N503" s="97">
        <v>0.08</v>
      </c>
      <c r="O503" s="97">
        <f t="shared" si="425"/>
        <v>0.24</v>
      </c>
      <c r="P503" s="95">
        <f t="shared" si="426"/>
        <v>18</v>
      </c>
      <c r="Q503" s="98">
        <f t="shared" si="427"/>
        <v>56.400000000000006</v>
      </c>
      <c r="R503" s="119"/>
    </row>
    <row r="504" spans="1:18" x14ac:dyDescent="0.3">
      <c r="A504" s="86" t="str">
        <f>IF(TRIM(H504)&lt;&gt;"",COUNTA(H$9:$H504)&amp;"","")</f>
        <v>348</v>
      </c>
      <c r="B504" s="87" t="s">
        <v>613</v>
      </c>
      <c r="C504" s="87" t="s">
        <v>613</v>
      </c>
      <c r="D504" s="88"/>
      <c r="E504" s="89" t="s">
        <v>630</v>
      </c>
      <c r="F504" s="90">
        <v>3</v>
      </c>
      <c r="H504" s="91" t="s">
        <v>239</v>
      </c>
      <c r="I504" s="92">
        <f t="shared" si="428"/>
        <v>0</v>
      </c>
      <c r="J504" s="93">
        <f t="shared" si="422"/>
        <v>3</v>
      </c>
      <c r="K504" s="94">
        <v>14.4</v>
      </c>
      <c r="L504" s="95">
        <f t="shared" si="423"/>
        <v>43.2</v>
      </c>
      <c r="M504" s="96">
        <f t="shared" si="424"/>
        <v>75</v>
      </c>
      <c r="N504" s="97">
        <v>0.09</v>
      </c>
      <c r="O504" s="97">
        <f t="shared" si="425"/>
        <v>0.27</v>
      </c>
      <c r="P504" s="95">
        <f t="shared" si="426"/>
        <v>20.25</v>
      </c>
      <c r="Q504" s="98">
        <f t="shared" si="427"/>
        <v>63.45</v>
      </c>
      <c r="R504" s="119"/>
    </row>
    <row r="505" spans="1:18" x14ac:dyDescent="0.3">
      <c r="A505" s="86" t="str">
        <f>IF(TRIM(H505)&lt;&gt;"",COUNTA(H$9:$H505)&amp;"","")</f>
        <v>349</v>
      </c>
      <c r="B505" s="87" t="s">
        <v>613</v>
      </c>
      <c r="C505" s="87" t="s">
        <v>613</v>
      </c>
      <c r="D505" s="88"/>
      <c r="E505" s="89" t="s">
        <v>631</v>
      </c>
      <c r="F505" s="90">
        <v>4</v>
      </c>
      <c r="H505" s="91" t="s">
        <v>239</v>
      </c>
      <c r="I505" s="92">
        <f t="shared" si="428"/>
        <v>0</v>
      </c>
      <c r="J505" s="93">
        <f t="shared" si="422"/>
        <v>4</v>
      </c>
      <c r="K505" s="94">
        <v>10.4</v>
      </c>
      <c r="L505" s="95">
        <f t="shared" si="423"/>
        <v>41.6</v>
      </c>
      <c r="M505" s="96">
        <f t="shared" si="424"/>
        <v>75</v>
      </c>
      <c r="N505" s="97">
        <v>6.5000000000000002E-2</v>
      </c>
      <c r="O505" s="97">
        <f t="shared" si="425"/>
        <v>0.26</v>
      </c>
      <c r="P505" s="95">
        <f t="shared" si="426"/>
        <v>19.5</v>
      </c>
      <c r="Q505" s="98">
        <f t="shared" si="427"/>
        <v>61.1</v>
      </c>
      <c r="R505" s="119"/>
    </row>
    <row r="506" spans="1:18" x14ac:dyDescent="0.3">
      <c r="A506" s="86" t="str">
        <f>IF(TRIM(H506)&lt;&gt;"",COUNTA(H$9:$H506)&amp;"","")</f>
        <v>350</v>
      </c>
      <c r="B506" s="87" t="s">
        <v>613</v>
      </c>
      <c r="C506" s="87" t="s">
        <v>613</v>
      </c>
      <c r="D506" s="88"/>
      <c r="E506" s="89" t="s">
        <v>632</v>
      </c>
      <c r="F506" s="90">
        <v>1</v>
      </c>
      <c r="H506" s="91" t="s">
        <v>239</v>
      </c>
      <c r="I506" s="92">
        <f t="shared" si="428"/>
        <v>0</v>
      </c>
      <c r="J506" s="93">
        <f t="shared" si="422"/>
        <v>1</v>
      </c>
      <c r="K506" s="94">
        <v>11.2</v>
      </c>
      <c r="L506" s="95">
        <f t="shared" si="423"/>
        <v>11.2</v>
      </c>
      <c r="M506" s="96">
        <f t="shared" si="424"/>
        <v>75</v>
      </c>
      <c r="N506" s="97">
        <v>7.0000000000000007E-2</v>
      </c>
      <c r="O506" s="97">
        <f t="shared" si="425"/>
        <v>7.0000000000000007E-2</v>
      </c>
      <c r="P506" s="95">
        <f t="shared" si="426"/>
        <v>5.2500000000000009</v>
      </c>
      <c r="Q506" s="98">
        <f t="shared" si="427"/>
        <v>16.45</v>
      </c>
      <c r="R506" s="119"/>
    </row>
    <row r="507" spans="1:18" x14ac:dyDescent="0.3">
      <c r="A507" s="86" t="str">
        <f>IF(TRIM(H507)&lt;&gt;"",COUNTA(H$9:$H507)&amp;"","")</f>
        <v>351</v>
      </c>
      <c r="B507" s="87" t="s">
        <v>613</v>
      </c>
      <c r="C507" s="87" t="s">
        <v>613</v>
      </c>
      <c r="D507" s="88"/>
      <c r="E507" s="89" t="s">
        <v>633</v>
      </c>
      <c r="F507" s="90">
        <v>16</v>
      </c>
      <c r="H507" s="91" t="s">
        <v>239</v>
      </c>
      <c r="I507" s="92">
        <f t="shared" si="428"/>
        <v>0</v>
      </c>
      <c r="J507" s="93">
        <f t="shared" si="422"/>
        <v>16</v>
      </c>
      <c r="K507" s="94">
        <v>12</v>
      </c>
      <c r="L507" s="95">
        <f t="shared" si="423"/>
        <v>192</v>
      </c>
      <c r="M507" s="96">
        <f t="shared" si="424"/>
        <v>75</v>
      </c>
      <c r="N507" s="97">
        <v>7.4999999999999997E-2</v>
      </c>
      <c r="O507" s="97">
        <f t="shared" si="425"/>
        <v>1.2</v>
      </c>
      <c r="P507" s="95">
        <f t="shared" si="426"/>
        <v>90</v>
      </c>
      <c r="Q507" s="98">
        <f t="shared" si="427"/>
        <v>282</v>
      </c>
      <c r="R507" s="119"/>
    </row>
    <row r="508" spans="1:18" x14ac:dyDescent="0.3">
      <c r="A508" s="86" t="str">
        <f>IF(TRIM(H508)&lt;&gt;"",COUNTA(H$9:$H508)&amp;"","")</f>
        <v>352</v>
      </c>
      <c r="B508" s="87" t="s">
        <v>613</v>
      </c>
      <c r="C508" s="87" t="s">
        <v>613</v>
      </c>
      <c r="D508" s="88"/>
      <c r="E508" s="89" t="s">
        <v>634</v>
      </c>
      <c r="F508" s="90">
        <v>4</v>
      </c>
      <c r="H508" s="91" t="s">
        <v>239</v>
      </c>
      <c r="I508" s="92">
        <f t="shared" si="428"/>
        <v>0</v>
      </c>
      <c r="J508" s="93">
        <f t="shared" si="422"/>
        <v>4</v>
      </c>
      <c r="K508" s="94">
        <v>12</v>
      </c>
      <c r="L508" s="95">
        <f t="shared" si="423"/>
        <v>48</v>
      </c>
      <c r="M508" s="96">
        <f t="shared" si="424"/>
        <v>75</v>
      </c>
      <c r="N508" s="97">
        <v>7.4999999999999997E-2</v>
      </c>
      <c r="O508" s="97">
        <f t="shared" si="425"/>
        <v>0.3</v>
      </c>
      <c r="P508" s="95">
        <f t="shared" si="426"/>
        <v>22.5</v>
      </c>
      <c r="Q508" s="98">
        <f t="shared" si="427"/>
        <v>70.5</v>
      </c>
      <c r="R508" s="119"/>
    </row>
    <row r="509" spans="1:18" x14ac:dyDescent="0.3">
      <c r="A509" s="86" t="str">
        <f>IF(TRIM(H509)&lt;&gt;"",COUNTA(H$9:$H509)&amp;"","")</f>
        <v>353</v>
      </c>
      <c r="B509" s="87" t="s">
        <v>613</v>
      </c>
      <c r="C509" s="87" t="s">
        <v>613</v>
      </c>
      <c r="D509" s="88"/>
      <c r="E509" s="89" t="s">
        <v>635</v>
      </c>
      <c r="F509" s="90">
        <v>13</v>
      </c>
      <c r="H509" s="91" t="s">
        <v>239</v>
      </c>
      <c r="I509" s="92">
        <f t="shared" si="428"/>
        <v>0</v>
      </c>
      <c r="J509" s="93">
        <f t="shared" si="422"/>
        <v>13</v>
      </c>
      <c r="K509" s="94">
        <v>12.8</v>
      </c>
      <c r="L509" s="95">
        <f t="shared" si="423"/>
        <v>166.4</v>
      </c>
      <c r="M509" s="96">
        <f t="shared" si="424"/>
        <v>75</v>
      </c>
      <c r="N509" s="97">
        <v>0.08</v>
      </c>
      <c r="O509" s="97">
        <f t="shared" si="425"/>
        <v>1.04</v>
      </c>
      <c r="P509" s="95">
        <f t="shared" si="426"/>
        <v>78</v>
      </c>
      <c r="Q509" s="98">
        <f t="shared" si="427"/>
        <v>244.4</v>
      </c>
      <c r="R509" s="119"/>
    </row>
    <row r="510" spans="1:18" x14ac:dyDescent="0.3">
      <c r="A510" s="86" t="str">
        <f>IF(TRIM(H510)&lt;&gt;"",COUNTA(H$9:$H510)&amp;"","")</f>
        <v>354</v>
      </c>
      <c r="B510" s="87" t="s">
        <v>613</v>
      </c>
      <c r="C510" s="87" t="s">
        <v>613</v>
      </c>
      <c r="D510" s="88"/>
      <c r="E510" s="89" t="s">
        <v>636</v>
      </c>
      <c r="F510" s="90">
        <v>13</v>
      </c>
      <c r="H510" s="91" t="s">
        <v>239</v>
      </c>
      <c r="I510" s="92">
        <f t="shared" si="428"/>
        <v>0</v>
      </c>
      <c r="J510" s="93">
        <f t="shared" si="422"/>
        <v>13</v>
      </c>
      <c r="K510" s="94">
        <v>13.6</v>
      </c>
      <c r="L510" s="95">
        <f t="shared" si="423"/>
        <v>176.79999999999998</v>
      </c>
      <c r="M510" s="96">
        <f t="shared" si="424"/>
        <v>75</v>
      </c>
      <c r="N510" s="97">
        <v>8.5000000000000006E-2</v>
      </c>
      <c r="O510" s="97">
        <f t="shared" si="425"/>
        <v>1.105</v>
      </c>
      <c r="P510" s="95">
        <f t="shared" si="426"/>
        <v>82.875</v>
      </c>
      <c r="Q510" s="98">
        <f t="shared" si="427"/>
        <v>259.67499999999995</v>
      </c>
      <c r="R510" s="119"/>
    </row>
    <row r="511" spans="1:18" x14ac:dyDescent="0.3">
      <c r="A511" s="86" t="str">
        <f>IF(TRIM(H511)&lt;&gt;"",COUNTA(H$9:$H511)&amp;"","")</f>
        <v>355</v>
      </c>
      <c r="B511" s="87" t="s">
        <v>613</v>
      </c>
      <c r="C511" s="87" t="s">
        <v>613</v>
      </c>
      <c r="D511" s="88"/>
      <c r="E511" s="89" t="s">
        <v>637</v>
      </c>
      <c r="F511" s="90">
        <v>1</v>
      </c>
      <c r="H511" s="91" t="s">
        <v>239</v>
      </c>
      <c r="I511" s="92">
        <f t="shared" si="428"/>
        <v>0</v>
      </c>
      <c r="J511" s="93">
        <f t="shared" si="422"/>
        <v>1</v>
      </c>
      <c r="K511" s="94">
        <v>16.8</v>
      </c>
      <c r="L511" s="95">
        <f t="shared" si="423"/>
        <v>16.8</v>
      </c>
      <c r="M511" s="96">
        <f t="shared" si="424"/>
        <v>75</v>
      </c>
      <c r="N511" s="97">
        <v>0.10500000000000001</v>
      </c>
      <c r="O511" s="97">
        <f t="shared" si="425"/>
        <v>0.10500000000000001</v>
      </c>
      <c r="P511" s="95">
        <f t="shared" si="426"/>
        <v>7.8750000000000009</v>
      </c>
      <c r="Q511" s="98">
        <f t="shared" si="427"/>
        <v>24.675000000000001</v>
      </c>
      <c r="R511" s="119"/>
    </row>
    <row r="512" spans="1:18" x14ac:dyDescent="0.3">
      <c r="A512" s="86" t="str">
        <f>IF(TRIM(H512)&lt;&gt;"",COUNTA(H$9:$H512)&amp;"","")</f>
        <v>356</v>
      </c>
      <c r="B512" s="87" t="s">
        <v>613</v>
      </c>
      <c r="C512" s="87" t="s">
        <v>613</v>
      </c>
      <c r="D512" s="88"/>
      <c r="E512" s="89" t="s">
        <v>637</v>
      </c>
      <c r="F512" s="90">
        <v>3</v>
      </c>
      <c r="H512" s="91" t="s">
        <v>239</v>
      </c>
      <c r="I512" s="92">
        <f t="shared" si="428"/>
        <v>0</v>
      </c>
      <c r="J512" s="93">
        <f t="shared" si="422"/>
        <v>3</v>
      </c>
      <c r="K512" s="94">
        <v>16.8</v>
      </c>
      <c r="L512" s="95">
        <f t="shared" si="423"/>
        <v>50.400000000000006</v>
      </c>
      <c r="M512" s="96">
        <f t="shared" si="424"/>
        <v>75</v>
      </c>
      <c r="N512" s="97">
        <v>0.10500000000000001</v>
      </c>
      <c r="O512" s="97">
        <f t="shared" si="425"/>
        <v>0.31500000000000006</v>
      </c>
      <c r="P512" s="95">
        <f t="shared" si="426"/>
        <v>23.625000000000004</v>
      </c>
      <c r="Q512" s="98">
        <f t="shared" si="427"/>
        <v>74.025000000000006</v>
      </c>
      <c r="R512" s="119"/>
    </row>
    <row r="513" spans="1:18" x14ac:dyDescent="0.3">
      <c r="A513" s="86" t="str">
        <f>IF(TRIM(H513)&lt;&gt;"",COUNTA(H$9:$H513)&amp;"","")</f>
        <v/>
      </c>
      <c r="B513" s="87"/>
      <c r="C513" s="87"/>
      <c r="D513" s="88"/>
      <c r="E513" s="89" t="s">
        <v>549</v>
      </c>
      <c r="F513" s="90"/>
      <c r="H513" s="91"/>
      <c r="I513" s="92" t="str">
        <f t="shared" si="428"/>
        <v/>
      </c>
      <c r="J513" s="93" t="str">
        <f t="shared" si="422"/>
        <v/>
      </c>
      <c r="K513" s="94" t="s">
        <v>549</v>
      </c>
      <c r="L513" s="95" t="str">
        <f t="shared" si="423"/>
        <v/>
      </c>
      <c r="M513" s="96" t="str">
        <f t="shared" si="424"/>
        <v/>
      </c>
      <c r="N513" s="97" t="s">
        <v>549</v>
      </c>
      <c r="O513" s="97" t="str">
        <f t="shared" si="425"/>
        <v/>
      </c>
      <c r="P513" s="95" t="str">
        <f t="shared" si="426"/>
        <v/>
      </c>
      <c r="Q513" s="98" t="str">
        <f t="shared" si="427"/>
        <v/>
      </c>
      <c r="R513" s="119"/>
    </row>
    <row r="514" spans="1:18" x14ac:dyDescent="0.3">
      <c r="A514" s="86" t="str">
        <f>IF(TRIM(H514)&lt;&gt;"",COUNTA(H$9:$H514)&amp;"","")</f>
        <v/>
      </c>
      <c r="B514" s="87"/>
      <c r="C514" s="87"/>
      <c r="D514" s="88"/>
      <c r="E514" s="125" t="s">
        <v>201</v>
      </c>
      <c r="F514" s="90"/>
      <c r="H514" s="91"/>
      <c r="I514" s="92" t="str">
        <f t="shared" si="428"/>
        <v/>
      </c>
      <c r="J514" s="93" t="str">
        <f t="shared" si="422"/>
        <v/>
      </c>
      <c r="K514" s="94" t="s">
        <v>549</v>
      </c>
      <c r="L514" s="95" t="str">
        <f t="shared" si="423"/>
        <v/>
      </c>
      <c r="M514" s="96" t="str">
        <f t="shared" si="424"/>
        <v/>
      </c>
      <c r="N514" s="97" t="s">
        <v>549</v>
      </c>
      <c r="O514" s="97" t="str">
        <f t="shared" si="425"/>
        <v/>
      </c>
      <c r="P514" s="95" t="str">
        <f t="shared" si="426"/>
        <v/>
      </c>
      <c r="Q514" s="98" t="str">
        <f t="shared" si="427"/>
        <v/>
      </c>
      <c r="R514" s="119"/>
    </row>
    <row r="515" spans="1:18" x14ac:dyDescent="0.3">
      <c r="A515" s="86" t="str">
        <f>IF(TRIM(H515)&lt;&gt;"",COUNTA(H$9:$H515)&amp;"","")</f>
        <v>357</v>
      </c>
      <c r="B515" s="87" t="s">
        <v>613</v>
      </c>
      <c r="C515" s="87" t="s">
        <v>613</v>
      </c>
      <c r="D515" s="88"/>
      <c r="E515" s="89" t="s">
        <v>638</v>
      </c>
      <c r="F515" s="90">
        <v>3</v>
      </c>
      <c r="H515" s="91" t="s">
        <v>239</v>
      </c>
      <c r="I515" s="92">
        <f t="shared" si="428"/>
        <v>0</v>
      </c>
      <c r="J515" s="93">
        <f t="shared" si="422"/>
        <v>3</v>
      </c>
      <c r="K515" s="94">
        <v>300</v>
      </c>
      <c r="L515" s="95">
        <f t="shared" si="423"/>
        <v>900</v>
      </c>
      <c r="M515" s="96">
        <f t="shared" si="424"/>
        <v>75</v>
      </c>
      <c r="N515" s="97">
        <v>1.875</v>
      </c>
      <c r="O515" s="97">
        <f t="shared" si="425"/>
        <v>5.625</v>
      </c>
      <c r="P515" s="95">
        <f t="shared" si="426"/>
        <v>421.875</v>
      </c>
      <c r="Q515" s="98">
        <f t="shared" si="427"/>
        <v>1321.875</v>
      </c>
      <c r="R515" s="119"/>
    </row>
    <row r="516" spans="1:18" x14ac:dyDescent="0.3">
      <c r="A516" s="86" t="str">
        <f>IF(TRIM(H516)&lt;&gt;"",COUNTA(H$9:$H516)&amp;"","")</f>
        <v>358</v>
      </c>
      <c r="B516" s="87" t="s">
        <v>613</v>
      </c>
      <c r="C516" s="87" t="s">
        <v>613</v>
      </c>
      <c r="D516" s="88"/>
      <c r="E516" s="89" t="s">
        <v>639</v>
      </c>
      <c r="F516" s="90">
        <v>1</v>
      </c>
      <c r="H516" s="91" t="s">
        <v>239</v>
      </c>
      <c r="I516" s="92">
        <f t="shared" si="428"/>
        <v>0</v>
      </c>
      <c r="J516" s="93">
        <f t="shared" si="422"/>
        <v>1</v>
      </c>
      <c r="K516" s="94">
        <v>70</v>
      </c>
      <c r="L516" s="95">
        <f t="shared" si="423"/>
        <v>70</v>
      </c>
      <c r="M516" s="96">
        <f t="shared" si="424"/>
        <v>75</v>
      </c>
      <c r="N516" s="97">
        <v>0.4375</v>
      </c>
      <c r="O516" s="97">
        <f t="shared" si="425"/>
        <v>0.4375</v>
      </c>
      <c r="P516" s="95">
        <f t="shared" si="426"/>
        <v>32.8125</v>
      </c>
      <c r="Q516" s="98">
        <f t="shared" si="427"/>
        <v>102.8125</v>
      </c>
      <c r="R516" s="119"/>
    </row>
    <row r="517" spans="1:18" x14ac:dyDescent="0.3">
      <c r="A517" s="86" t="str">
        <f>IF(TRIM(H517)&lt;&gt;"",COUNTA(H$9:$H517)&amp;"","")</f>
        <v>359</v>
      </c>
      <c r="B517" s="87" t="s">
        <v>613</v>
      </c>
      <c r="C517" s="87" t="s">
        <v>613</v>
      </c>
      <c r="D517" s="88"/>
      <c r="E517" s="89" t="s">
        <v>640</v>
      </c>
      <c r="F517" s="90">
        <v>7</v>
      </c>
      <c r="H517" s="91" t="s">
        <v>239</v>
      </c>
      <c r="I517" s="92">
        <f t="shared" si="428"/>
        <v>0</v>
      </c>
      <c r="J517" s="93">
        <f t="shared" si="422"/>
        <v>7</v>
      </c>
      <c r="K517" s="94">
        <v>80</v>
      </c>
      <c r="L517" s="95">
        <f t="shared" si="423"/>
        <v>560</v>
      </c>
      <c r="M517" s="96">
        <f t="shared" si="424"/>
        <v>75</v>
      </c>
      <c r="N517" s="97">
        <v>0.5</v>
      </c>
      <c r="O517" s="97">
        <f t="shared" si="425"/>
        <v>3.5</v>
      </c>
      <c r="P517" s="95">
        <f t="shared" si="426"/>
        <v>262.5</v>
      </c>
      <c r="Q517" s="98">
        <f t="shared" si="427"/>
        <v>822.5</v>
      </c>
      <c r="R517" s="119"/>
    </row>
    <row r="518" spans="1:18" x14ac:dyDescent="0.3">
      <c r="A518" s="86" t="str">
        <f>IF(TRIM(H518)&lt;&gt;"",COUNTA(H$9:$H518)&amp;"","")</f>
        <v>360</v>
      </c>
      <c r="B518" s="87" t="s">
        <v>613</v>
      </c>
      <c r="C518" s="87" t="s">
        <v>613</v>
      </c>
      <c r="D518" s="88"/>
      <c r="E518" s="89" t="s">
        <v>641</v>
      </c>
      <c r="F518" s="90">
        <v>17</v>
      </c>
      <c r="H518" s="91" t="s">
        <v>239</v>
      </c>
      <c r="I518" s="92">
        <f t="shared" si="428"/>
        <v>0</v>
      </c>
      <c r="J518" s="93">
        <f t="shared" si="422"/>
        <v>17</v>
      </c>
      <c r="K518" s="94">
        <v>116</v>
      </c>
      <c r="L518" s="95">
        <f t="shared" si="423"/>
        <v>1972</v>
      </c>
      <c r="M518" s="96">
        <f t="shared" si="424"/>
        <v>75</v>
      </c>
      <c r="N518" s="97">
        <v>0.72499999999999998</v>
      </c>
      <c r="O518" s="97">
        <f t="shared" si="425"/>
        <v>12.324999999999999</v>
      </c>
      <c r="P518" s="95">
        <f t="shared" si="426"/>
        <v>924.375</v>
      </c>
      <c r="Q518" s="98">
        <f t="shared" si="427"/>
        <v>2896.375</v>
      </c>
      <c r="R518" s="119"/>
    </row>
    <row r="519" spans="1:18" x14ac:dyDescent="0.3">
      <c r="A519" s="86" t="str">
        <f>IF(TRIM(H519)&lt;&gt;"",COUNTA(H$9:$H519)&amp;"","")</f>
        <v>361</v>
      </c>
      <c r="B519" s="87" t="s">
        <v>613</v>
      </c>
      <c r="C519" s="87" t="s">
        <v>613</v>
      </c>
      <c r="D519" s="88"/>
      <c r="E519" s="89" t="s">
        <v>642</v>
      </c>
      <c r="F519" s="90">
        <v>6</v>
      </c>
      <c r="H519" s="91" t="s">
        <v>239</v>
      </c>
      <c r="I519" s="92">
        <f t="shared" si="428"/>
        <v>0</v>
      </c>
      <c r="J519" s="93">
        <f t="shared" si="422"/>
        <v>6</v>
      </c>
      <c r="K519" s="94">
        <v>164</v>
      </c>
      <c r="L519" s="95">
        <f t="shared" si="423"/>
        <v>984</v>
      </c>
      <c r="M519" s="96">
        <f t="shared" si="424"/>
        <v>75</v>
      </c>
      <c r="N519" s="97">
        <v>1.0249999999999999</v>
      </c>
      <c r="O519" s="97">
        <f t="shared" si="425"/>
        <v>6.1499999999999995</v>
      </c>
      <c r="P519" s="95">
        <f t="shared" si="426"/>
        <v>461.24999999999994</v>
      </c>
      <c r="Q519" s="98">
        <f t="shared" si="427"/>
        <v>1445.25</v>
      </c>
      <c r="R519" s="119"/>
    </row>
    <row r="520" spans="1:18" x14ac:dyDescent="0.3">
      <c r="A520" s="86" t="str">
        <f>IF(TRIM(H520)&lt;&gt;"",COUNTA(H$9:$H520)&amp;"","")</f>
        <v>362</v>
      </c>
      <c r="B520" s="87" t="s">
        <v>613</v>
      </c>
      <c r="C520" s="87" t="s">
        <v>613</v>
      </c>
      <c r="D520" s="88"/>
      <c r="E520" s="89" t="s">
        <v>643</v>
      </c>
      <c r="F520" s="90">
        <v>9</v>
      </c>
      <c r="H520" s="91" t="s">
        <v>239</v>
      </c>
      <c r="I520" s="92">
        <f t="shared" si="428"/>
        <v>0</v>
      </c>
      <c r="J520" s="93">
        <f t="shared" si="422"/>
        <v>9</v>
      </c>
      <c r="K520" s="94">
        <v>220</v>
      </c>
      <c r="L520" s="95">
        <f t="shared" si="423"/>
        <v>1980</v>
      </c>
      <c r="M520" s="96">
        <f t="shared" si="424"/>
        <v>75</v>
      </c>
      <c r="N520" s="97">
        <v>1.375</v>
      </c>
      <c r="O520" s="97">
        <f t="shared" si="425"/>
        <v>12.375</v>
      </c>
      <c r="P520" s="95">
        <f t="shared" si="426"/>
        <v>928.125</v>
      </c>
      <c r="Q520" s="98">
        <f t="shared" si="427"/>
        <v>2908.125</v>
      </c>
      <c r="R520" s="119"/>
    </row>
    <row r="521" spans="1:18" x14ac:dyDescent="0.3">
      <c r="A521" s="86" t="str">
        <f>IF(TRIM(H521)&lt;&gt;"",COUNTA(H$9:$H521)&amp;"","")</f>
        <v>363</v>
      </c>
      <c r="B521" s="87" t="s">
        <v>613</v>
      </c>
      <c r="C521" s="87" t="s">
        <v>613</v>
      </c>
      <c r="D521" s="88"/>
      <c r="E521" s="89" t="s">
        <v>644</v>
      </c>
      <c r="F521" s="90">
        <v>201.92</v>
      </c>
      <c r="H521" s="91" t="s">
        <v>239</v>
      </c>
      <c r="I521" s="92">
        <f t="shared" si="428"/>
        <v>0</v>
      </c>
      <c r="J521" s="93">
        <f t="shared" si="422"/>
        <v>201.92</v>
      </c>
      <c r="K521" s="94">
        <v>0</v>
      </c>
      <c r="L521" s="95">
        <f t="shared" si="423"/>
        <v>0</v>
      </c>
      <c r="M521" s="96">
        <f t="shared" si="424"/>
        <v>75</v>
      </c>
      <c r="N521" s="97">
        <v>0.85</v>
      </c>
      <c r="O521" s="97">
        <f t="shared" si="425"/>
        <v>171.63199999999998</v>
      </c>
      <c r="P521" s="95">
        <f t="shared" si="426"/>
        <v>12872.399999999998</v>
      </c>
      <c r="Q521" s="98">
        <f t="shared" si="427"/>
        <v>12872.399999999998</v>
      </c>
      <c r="R521" s="119"/>
    </row>
    <row r="522" spans="1:18" ht="55.2" x14ac:dyDescent="0.3">
      <c r="A522" s="86" t="str">
        <f>IF(TRIM(H522)&lt;&gt;"",COUNTA(H$9:$H522)&amp;"","")</f>
        <v>364</v>
      </c>
      <c r="B522" s="87" t="s">
        <v>613</v>
      </c>
      <c r="C522" s="87" t="s">
        <v>613</v>
      </c>
      <c r="D522" s="88"/>
      <c r="E522" s="89" t="s">
        <v>645</v>
      </c>
      <c r="F522" s="90">
        <v>36.159999999999997</v>
      </c>
      <c r="H522" s="91" t="s">
        <v>210</v>
      </c>
      <c r="I522" s="92">
        <f t="shared" si="428"/>
        <v>0</v>
      </c>
      <c r="J522" s="93">
        <f t="shared" si="422"/>
        <v>36.159999999999997</v>
      </c>
      <c r="K522" s="94">
        <v>0</v>
      </c>
      <c r="L522" s="95">
        <f t="shared" si="423"/>
        <v>0</v>
      </c>
      <c r="M522" s="96">
        <f t="shared" si="424"/>
        <v>75</v>
      </c>
      <c r="N522" s="97">
        <v>0.125</v>
      </c>
      <c r="O522" s="97">
        <f t="shared" si="425"/>
        <v>4.5199999999999996</v>
      </c>
      <c r="P522" s="95">
        <f t="shared" si="426"/>
        <v>338.99999999999994</v>
      </c>
      <c r="Q522" s="98">
        <f t="shared" si="427"/>
        <v>338.99999999999994</v>
      </c>
      <c r="R522" s="119"/>
    </row>
    <row r="523" spans="1:18" ht="55.2" x14ac:dyDescent="0.3">
      <c r="A523" s="86" t="str">
        <f>IF(TRIM(H523)&lt;&gt;"",COUNTA(H$9:$H523)&amp;"","")</f>
        <v>365</v>
      </c>
      <c r="B523" s="87" t="s">
        <v>613</v>
      </c>
      <c r="C523" s="87" t="s">
        <v>613</v>
      </c>
      <c r="D523" s="88"/>
      <c r="E523" s="89" t="s">
        <v>646</v>
      </c>
      <c r="F523" s="90">
        <v>33.6</v>
      </c>
      <c r="H523" s="91" t="s">
        <v>210</v>
      </c>
      <c r="I523" s="92">
        <f t="shared" si="428"/>
        <v>0</v>
      </c>
      <c r="J523" s="93">
        <f t="shared" si="422"/>
        <v>33.6</v>
      </c>
      <c r="K523" s="94">
        <v>0</v>
      </c>
      <c r="L523" s="95">
        <f t="shared" si="423"/>
        <v>0</v>
      </c>
      <c r="M523" s="96">
        <f t="shared" si="424"/>
        <v>75</v>
      </c>
      <c r="N523" s="97">
        <v>0.15</v>
      </c>
      <c r="O523" s="97">
        <f t="shared" si="425"/>
        <v>5.04</v>
      </c>
      <c r="P523" s="95">
        <f t="shared" si="426"/>
        <v>378</v>
      </c>
      <c r="Q523" s="98">
        <f t="shared" si="427"/>
        <v>378</v>
      </c>
      <c r="R523" s="119"/>
    </row>
    <row r="524" spans="1:18" x14ac:dyDescent="0.3">
      <c r="A524" s="86" t="str">
        <f>IF(TRIM(H524)&lt;&gt;"",COUNTA(H$9:$H524)&amp;"","")</f>
        <v/>
      </c>
      <c r="B524" s="87"/>
      <c r="C524" s="87"/>
      <c r="D524" s="88"/>
      <c r="E524" s="89" t="s">
        <v>549</v>
      </c>
      <c r="F524" s="90"/>
      <c r="H524" s="91"/>
      <c r="I524" s="92"/>
      <c r="J524" s="93"/>
      <c r="K524" s="94" t="s">
        <v>549</v>
      </c>
      <c r="L524" s="95"/>
      <c r="M524" s="96"/>
      <c r="N524" s="97" t="s">
        <v>549</v>
      </c>
      <c r="O524" s="97"/>
      <c r="P524" s="95"/>
      <c r="Q524" s="98"/>
      <c r="R524" s="119"/>
    </row>
    <row r="525" spans="1:18" x14ac:dyDescent="0.3">
      <c r="A525" s="86" t="str">
        <f>IF(TRIM(H525)&lt;&gt;"",COUNTA(H$9:$H525)&amp;"","")</f>
        <v/>
      </c>
      <c r="B525" s="87"/>
      <c r="C525" s="87"/>
      <c r="D525" s="88"/>
      <c r="E525" s="125" t="s">
        <v>199</v>
      </c>
      <c r="F525" s="90"/>
      <c r="H525" s="91"/>
      <c r="I525" s="92" t="str">
        <f>IF(F525=0,"",0)</f>
        <v/>
      </c>
      <c r="J525" s="93" t="str">
        <f>IF(F525=0,"",F525+(F525*I525))</f>
        <v/>
      </c>
      <c r="K525" s="94" t="s">
        <v>549</v>
      </c>
      <c r="L525" s="95" t="str">
        <f>IF(F525=0,"",K525*J525)</f>
        <v/>
      </c>
      <c r="M525" s="96" t="str">
        <f>IF(F525=0,"",M$7)</f>
        <v/>
      </c>
      <c r="N525" s="97" t="s">
        <v>549</v>
      </c>
      <c r="O525" s="97" t="str">
        <f>IF(F525=0,"",N525*J525)</f>
        <v/>
      </c>
      <c r="P525" s="95" t="str">
        <f>IF(F525=0,"",O525*M525)</f>
        <v/>
      </c>
      <c r="Q525" s="98" t="str">
        <f>IF(F525=0,"",L525+P525)</f>
        <v/>
      </c>
      <c r="R525" s="119"/>
    </row>
    <row r="526" spans="1:18" x14ac:dyDescent="0.3">
      <c r="A526" s="86" t="str">
        <f>IF(TRIM(H526)&lt;&gt;"",COUNTA(H$9:$H526)&amp;"","")</f>
        <v>366</v>
      </c>
      <c r="B526" s="87" t="s">
        <v>647</v>
      </c>
      <c r="C526" s="87" t="s">
        <v>647</v>
      </c>
      <c r="D526" s="88"/>
      <c r="E526" s="89" t="s">
        <v>648</v>
      </c>
      <c r="F526" s="90">
        <v>2.0299999999999998</v>
      </c>
      <c r="H526" s="91" t="s">
        <v>210</v>
      </c>
      <c r="I526" s="92">
        <v>0.1</v>
      </c>
      <c r="J526" s="93">
        <f t="shared" ref="J526:J537" si="429">IF(F526=0,"",F526+(F526*I526))</f>
        <v>2.2329999999999997</v>
      </c>
      <c r="K526" s="94">
        <v>12</v>
      </c>
      <c r="L526" s="95">
        <f t="shared" ref="L526:L537" si="430">IF(F526=0,"",K526*J526)</f>
        <v>26.795999999999996</v>
      </c>
      <c r="M526" s="96">
        <f t="shared" ref="M526:M537" si="431">IF(F526=0,"",M$7)</f>
        <v>75</v>
      </c>
      <c r="N526" s="97">
        <v>0.2</v>
      </c>
      <c r="O526" s="97">
        <f t="shared" ref="O526:O537" si="432">IF(F526=0,"",N526*J526)</f>
        <v>0.44659999999999994</v>
      </c>
      <c r="P526" s="95">
        <f t="shared" ref="P526:P537" si="433">IF(F526=0,"",O526*M526)</f>
        <v>33.494999999999997</v>
      </c>
      <c r="Q526" s="98">
        <f t="shared" ref="Q526:Q537" si="434">IF(F526=0,"",L526+P526)</f>
        <v>60.290999999999997</v>
      </c>
      <c r="R526" s="119"/>
    </row>
    <row r="527" spans="1:18" x14ac:dyDescent="0.3">
      <c r="A527" s="86" t="str">
        <f>IF(TRIM(H527)&lt;&gt;"",COUNTA(H$9:$H527)&amp;"","")</f>
        <v>367</v>
      </c>
      <c r="B527" s="87" t="s">
        <v>647</v>
      </c>
      <c r="C527" s="87" t="s">
        <v>647</v>
      </c>
      <c r="D527" s="88"/>
      <c r="E527" s="89" t="s">
        <v>649</v>
      </c>
      <c r="F527" s="90">
        <v>13.39</v>
      </c>
      <c r="H527" s="91" t="s">
        <v>210</v>
      </c>
      <c r="I527" s="92">
        <v>0.1</v>
      </c>
      <c r="J527" s="93">
        <f t="shared" si="429"/>
        <v>14.729000000000001</v>
      </c>
      <c r="K527" s="94">
        <v>12</v>
      </c>
      <c r="L527" s="95">
        <f t="shared" si="430"/>
        <v>176.74800000000002</v>
      </c>
      <c r="M527" s="96">
        <f t="shared" si="431"/>
        <v>75</v>
      </c>
      <c r="N527" s="97">
        <v>0.2</v>
      </c>
      <c r="O527" s="97">
        <f t="shared" si="432"/>
        <v>2.9458000000000002</v>
      </c>
      <c r="P527" s="95">
        <f t="shared" si="433"/>
        <v>220.935</v>
      </c>
      <c r="Q527" s="98">
        <f t="shared" si="434"/>
        <v>397.68299999999999</v>
      </c>
      <c r="R527" s="119"/>
    </row>
    <row r="528" spans="1:18" x14ac:dyDescent="0.3">
      <c r="A528" s="86" t="str">
        <f>IF(TRIM(H528)&lt;&gt;"",COUNTA(H$9:$H528)&amp;"","")</f>
        <v>368</v>
      </c>
      <c r="B528" s="87" t="s">
        <v>647</v>
      </c>
      <c r="C528" s="87" t="s">
        <v>647</v>
      </c>
      <c r="D528" s="88"/>
      <c r="E528" s="89" t="s">
        <v>650</v>
      </c>
      <c r="F528" s="90">
        <v>95.29</v>
      </c>
      <c r="H528" s="91" t="s">
        <v>210</v>
      </c>
      <c r="I528" s="92">
        <v>0.1</v>
      </c>
      <c r="J528" s="93">
        <f t="shared" si="429"/>
        <v>104.819</v>
      </c>
      <c r="K528" s="94">
        <v>13.2</v>
      </c>
      <c r="L528" s="95">
        <f t="shared" si="430"/>
        <v>1383.6107999999999</v>
      </c>
      <c r="M528" s="96">
        <f t="shared" si="431"/>
        <v>75</v>
      </c>
      <c r="N528" s="97">
        <v>0.22000000000000003</v>
      </c>
      <c r="O528" s="97">
        <f t="shared" si="432"/>
        <v>23.060180000000003</v>
      </c>
      <c r="P528" s="95">
        <f t="shared" si="433"/>
        <v>1729.5135000000002</v>
      </c>
      <c r="Q528" s="98">
        <f t="shared" si="434"/>
        <v>3113.1243000000004</v>
      </c>
      <c r="R528" s="119"/>
    </row>
    <row r="529" spans="1:18" x14ac:dyDescent="0.3">
      <c r="A529" s="86" t="str">
        <f>IF(TRIM(H529)&lt;&gt;"",COUNTA(H$9:$H529)&amp;"","")</f>
        <v>369</v>
      </c>
      <c r="B529" s="87" t="s">
        <v>647</v>
      </c>
      <c r="C529" s="87" t="s">
        <v>647</v>
      </c>
      <c r="D529" s="88"/>
      <c r="E529" s="89" t="s">
        <v>651</v>
      </c>
      <c r="F529" s="90">
        <v>113.19</v>
      </c>
      <c r="H529" s="91" t="s">
        <v>210</v>
      </c>
      <c r="I529" s="92">
        <v>0.1</v>
      </c>
      <c r="J529" s="93">
        <f t="shared" si="429"/>
        <v>124.509</v>
      </c>
      <c r="K529" s="94">
        <v>16.799999999999997</v>
      </c>
      <c r="L529" s="95">
        <f t="shared" si="430"/>
        <v>2091.7511999999997</v>
      </c>
      <c r="M529" s="96">
        <f t="shared" si="431"/>
        <v>75</v>
      </c>
      <c r="N529" s="97">
        <v>0.28000000000000003</v>
      </c>
      <c r="O529" s="97">
        <f t="shared" si="432"/>
        <v>34.862520000000004</v>
      </c>
      <c r="P529" s="95">
        <f t="shared" si="433"/>
        <v>2614.6890000000003</v>
      </c>
      <c r="Q529" s="98">
        <f t="shared" si="434"/>
        <v>4706.4402</v>
      </c>
      <c r="R529" s="119"/>
    </row>
    <row r="530" spans="1:18" x14ac:dyDescent="0.3">
      <c r="A530" s="86" t="str">
        <f>IF(TRIM(H530)&lt;&gt;"",COUNTA(H$9:$H530)&amp;"","")</f>
        <v>370</v>
      </c>
      <c r="B530" s="87" t="s">
        <v>647</v>
      </c>
      <c r="C530" s="87" t="s">
        <v>647</v>
      </c>
      <c r="D530" s="88"/>
      <c r="E530" s="89" t="s">
        <v>652</v>
      </c>
      <c r="F530" s="90">
        <v>11.09</v>
      </c>
      <c r="H530" s="91" t="s">
        <v>210</v>
      </c>
      <c r="I530" s="92">
        <v>0.1</v>
      </c>
      <c r="J530" s="93">
        <f t="shared" si="429"/>
        <v>12.199</v>
      </c>
      <c r="K530" s="94">
        <v>16.799999999999997</v>
      </c>
      <c r="L530" s="95">
        <f t="shared" si="430"/>
        <v>204.94319999999996</v>
      </c>
      <c r="M530" s="96">
        <f t="shared" si="431"/>
        <v>75</v>
      </c>
      <c r="N530" s="97">
        <v>0.28000000000000003</v>
      </c>
      <c r="O530" s="97">
        <f t="shared" si="432"/>
        <v>3.4157200000000003</v>
      </c>
      <c r="P530" s="95">
        <f t="shared" si="433"/>
        <v>256.17900000000003</v>
      </c>
      <c r="Q530" s="98">
        <f t="shared" si="434"/>
        <v>461.12220000000002</v>
      </c>
      <c r="R530" s="119"/>
    </row>
    <row r="531" spans="1:18" x14ac:dyDescent="0.3">
      <c r="A531" s="86" t="str">
        <f>IF(TRIM(H531)&lt;&gt;"",COUNTA(H$9:$H531)&amp;"","")</f>
        <v>371</v>
      </c>
      <c r="B531" s="87" t="s">
        <v>647</v>
      </c>
      <c r="C531" s="87" t="s">
        <v>647</v>
      </c>
      <c r="D531" s="88"/>
      <c r="E531" s="89" t="s">
        <v>653</v>
      </c>
      <c r="F531" s="90">
        <v>11.94</v>
      </c>
      <c r="H531" s="91" t="s">
        <v>210</v>
      </c>
      <c r="I531" s="92">
        <v>0.1</v>
      </c>
      <c r="J531" s="93">
        <f t="shared" si="429"/>
        <v>13.134</v>
      </c>
      <c r="K531" s="94">
        <v>16.799999999999997</v>
      </c>
      <c r="L531" s="95">
        <f t="shared" si="430"/>
        <v>220.65119999999996</v>
      </c>
      <c r="M531" s="96">
        <f t="shared" si="431"/>
        <v>75</v>
      </c>
      <c r="N531" s="97">
        <v>0.28000000000000003</v>
      </c>
      <c r="O531" s="97">
        <f t="shared" si="432"/>
        <v>3.6775200000000003</v>
      </c>
      <c r="P531" s="95">
        <f t="shared" si="433"/>
        <v>275.81400000000002</v>
      </c>
      <c r="Q531" s="98">
        <f t="shared" si="434"/>
        <v>496.46519999999998</v>
      </c>
      <c r="R531" s="119"/>
    </row>
    <row r="532" spans="1:18" x14ac:dyDescent="0.3">
      <c r="A532" s="86" t="str">
        <f>IF(TRIM(H532)&lt;&gt;"",COUNTA(H$9:$H532)&amp;"","")</f>
        <v>372</v>
      </c>
      <c r="B532" s="87" t="s">
        <v>647</v>
      </c>
      <c r="C532" s="87" t="s">
        <v>647</v>
      </c>
      <c r="D532" s="88"/>
      <c r="E532" s="89" t="s">
        <v>654</v>
      </c>
      <c r="F532" s="90">
        <v>164.42</v>
      </c>
      <c r="H532" s="91" t="s">
        <v>210</v>
      </c>
      <c r="I532" s="92">
        <v>0.1</v>
      </c>
      <c r="J532" s="93">
        <f t="shared" si="429"/>
        <v>180.86199999999999</v>
      </c>
      <c r="K532" s="94">
        <v>16.799999999999997</v>
      </c>
      <c r="L532" s="95">
        <f t="shared" si="430"/>
        <v>3038.4815999999996</v>
      </c>
      <c r="M532" s="96">
        <f t="shared" si="431"/>
        <v>75</v>
      </c>
      <c r="N532" s="97">
        <v>0.28000000000000003</v>
      </c>
      <c r="O532" s="97">
        <f t="shared" si="432"/>
        <v>50.641360000000006</v>
      </c>
      <c r="P532" s="95">
        <f t="shared" si="433"/>
        <v>3798.1020000000003</v>
      </c>
      <c r="Q532" s="98">
        <f t="shared" si="434"/>
        <v>6836.5835999999999</v>
      </c>
      <c r="R532" s="119"/>
    </row>
    <row r="533" spans="1:18" x14ac:dyDescent="0.3">
      <c r="A533" s="86" t="str">
        <f>IF(TRIM(H533)&lt;&gt;"",COUNTA(H$9:$H533)&amp;"","")</f>
        <v>373</v>
      </c>
      <c r="B533" s="87" t="s">
        <v>647</v>
      </c>
      <c r="C533" s="87" t="s">
        <v>647</v>
      </c>
      <c r="D533" s="88"/>
      <c r="E533" s="89" t="s">
        <v>655</v>
      </c>
      <c r="F533" s="90">
        <v>4.29</v>
      </c>
      <c r="H533" s="91" t="s">
        <v>210</v>
      </c>
      <c r="I533" s="92">
        <v>0.1</v>
      </c>
      <c r="J533" s="93">
        <f t="shared" si="429"/>
        <v>4.7190000000000003</v>
      </c>
      <c r="K533" s="94">
        <v>25.2</v>
      </c>
      <c r="L533" s="95">
        <f t="shared" si="430"/>
        <v>118.9188</v>
      </c>
      <c r="M533" s="96">
        <f t="shared" si="431"/>
        <v>75</v>
      </c>
      <c r="N533" s="97">
        <v>0.42000000000000004</v>
      </c>
      <c r="O533" s="97">
        <f t="shared" si="432"/>
        <v>1.9819800000000003</v>
      </c>
      <c r="P533" s="95">
        <f t="shared" si="433"/>
        <v>148.64850000000001</v>
      </c>
      <c r="Q533" s="98">
        <f t="shared" si="434"/>
        <v>267.56730000000005</v>
      </c>
      <c r="R533" s="119"/>
    </row>
    <row r="534" spans="1:18" x14ac:dyDescent="0.3">
      <c r="A534" s="86" t="str">
        <f>IF(TRIM(H534)&lt;&gt;"",COUNTA(H$9:$H534)&amp;"","")</f>
        <v>374</v>
      </c>
      <c r="B534" s="87" t="s">
        <v>647</v>
      </c>
      <c r="C534" s="87" t="s">
        <v>647</v>
      </c>
      <c r="D534" s="88"/>
      <c r="E534" s="89" t="s">
        <v>656</v>
      </c>
      <c r="F534" s="90">
        <v>211.7</v>
      </c>
      <c r="H534" s="91" t="s">
        <v>210</v>
      </c>
      <c r="I534" s="92">
        <v>0.1</v>
      </c>
      <c r="J534" s="93">
        <f t="shared" si="429"/>
        <v>232.87</v>
      </c>
      <c r="K534" s="94">
        <v>25.2</v>
      </c>
      <c r="L534" s="95">
        <f t="shared" si="430"/>
        <v>5868.3239999999996</v>
      </c>
      <c r="M534" s="96">
        <f t="shared" si="431"/>
        <v>75</v>
      </c>
      <c r="N534" s="97">
        <v>0.42000000000000004</v>
      </c>
      <c r="O534" s="97">
        <f t="shared" si="432"/>
        <v>97.805400000000006</v>
      </c>
      <c r="P534" s="95">
        <f t="shared" si="433"/>
        <v>7335.4050000000007</v>
      </c>
      <c r="Q534" s="98">
        <f t="shared" si="434"/>
        <v>13203.728999999999</v>
      </c>
      <c r="R534" s="119"/>
    </row>
    <row r="535" spans="1:18" x14ac:dyDescent="0.3">
      <c r="A535" s="86" t="str">
        <f>IF(TRIM(H535)&lt;&gt;"",COUNTA(H$9:$H535)&amp;"","")</f>
        <v>375</v>
      </c>
      <c r="B535" s="87" t="s">
        <v>647</v>
      </c>
      <c r="C535" s="87" t="s">
        <v>647</v>
      </c>
      <c r="D535" s="88"/>
      <c r="E535" s="89" t="s">
        <v>657</v>
      </c>
      <c r="F535" s="90">
        <v>35.17</v>
      </c>
      <c r="H535" s="91" t="s">
        <v>210</v>
      </c>
      <c r="I535" s="92">
        <v>0.1</v>
      </c>
      <c r="J535" s="93">
        <f t="shared" si="429"/>
        <v>38.687000000000005</v>
      </c>
      <c r="K535" s="94">
        <v>9</v>
      </c>
      <c r="L535" s="95">
        <f t="shared" si="430"/>
        <v>348.18300000000005</v>
      </c>
      <c r="M535" s="96">
        <f t="shared" si="431"/>
        <v>75</v>
      </c>
      <c r="N535" s="97">
        <v>0.15</v>
      </c>
      <c r="O535" s="97">
        <f t="shared" si="432"/>
        <v>5.8030500000000007</v>
      </c>
      <c r="P535" s="95">
        <f t="shared" si="433"/>
        <v>435.22875000000005</v>
      </c>
      <c r="Q535" s="98">
        <f t="shared" si="434"/>
        <v>783.4117500000001</v>
      </c>
      <c r="R535" s="119"/>
    </row>
    <row r="536" spans="1:18" x14ac:dyDescent="0.3">
      <c r="A536" s="86" t="str">
        <f>IF(TRIM(H536)&lt;&gt;"",COUNTA(H$9:$H536)&amp;"","")</f>
        <v>376</v>
      </c>
      <c r="B536" s="87" t="s">
        <v>647</v>
      </c>
      <c r="C536" s="87" t="s">
        <v>647</v>
      </c>
      <c r="D536" s="88"/>
      <c r="E536" s="89" t="s">
        <v>658</v>
      </c>
      <c r="F536" s="90">
        <v>29.13</v>
      </c>
      <c r="H536" s="91" t="s">
        <v>210</v>
      </c>
      <c r="I536" s="92">
        <v>0.1</v>
      </c>
      <c r="J536" s="93">
        <f t="shared" si="429"/>
        <v>32.042999999999999</v>
      </c>
      <c r="K536" s="94">
        <v>28.799999999999997</v>
      </c>
      <c r="L536" s="95">
        <f t="shared" si="430"/>
        <v>922.83839999999987</v>
      </c>
      <c r="M536" s="96">
        <f t="shared" si="431"/>
        <v>75</v>
      </c>
      <c r="N536" s="97">
        <v>0.48000000000000009</v>
      </c>
      <c r="O536" s="97">
        <f t="shared" si="432"/>
        <v>15.380640000000003</v>
      </c>
      <c r="P536" s="95">
        <f t="shared" si="433"/>
        <v>1153.5480000000002</v>
      </c>
      <c r="Q536" s="98">
        <f t="shared" si="434"/>
        <v>2076.3864000000003</v>
      </c>
      <c r="R536" s="119"/>
    </row>
    <row r="537" spans="1:18" x14ac:dyDescent="0.3">
      <c r="A537" s="86" t="str">
        <f>IF(TRIM(H537)&lt;&gt;"",COUNTA(H$9:$H537)&amp;"","")</f>
        <v>377</v>
      </c>
      <c r="B537" s="87" t="s">
        <v>647</v>
      </c>
      <c r="C537" s="87" t="s">
        <v>647</v>
      </c>
      <c r="D537" s="88"/>
      <c r="E537" s="89" t="s">
        <v>659</v>
      </c>
      <c r="F537" s="90">
        <v>11.88</v>
      </c>
      <c r="H537" s="91" t="s">
        <v>210</v>
      </c>
      <c r="I537" s="92">
        <v>0.1</v>
      </c>
      <c r="J537" s="93">
        <f t="shared" si="429"/>
        <v>13.068000000000001</v>
      </c>
      <c r="K537" s="94">
        <v>52.8</v>
      </c>
      <c r="L537" s="95">
        <f t="shared" si="430"/>
        <v>689.99040000000002</v>
      </c>
      <c r="M537" s="96">
        <f t="shared" si="431"/>
        <v>75</v>
      </c>
      <c r="N537" s="97">
        <v>0.88000000000000012</v>
      </c>
      <c r="O537" s="97">
        <f t="shared" si="432"/>
        <v>11.499840000000003</v>
      </c>
      <c r="P537" s="95">
        <f t="shared" si="433"/>
        <v>862.48800000000017</v>
      </c>
      <c r="Q537" s="98">
        <f t="shared" si="434"/>
        <v>1552.4784000000002</v>
      </c>
      <c r="R537" s="119"/>
    </row>
    <row r="538" spans="1:18" x14ac:dyDescent="0.3">
      <c r="A538" s="86" t="str">
        <f>IF(TRIM(H538)&lt;&gt;"",COUNTA(H$9:$H538)&amp;"","")</f>
        <v/>
      </c>
      <c r="B538" s="87"/>
      <c r="C538" s="87"/>
      <c r="D538" s="88"/>
      <c r="E538" s="100" t="s">
        <v>549</v>
      </c>
      <c r="F538" s="90"/>
      <c r="H538" s="91"/>
      <c r="I538" s="92" t="str">
        <f t="shared" ref="I538:I596" si="435">IF(F538=0,"",0)</f>
        <v/>
      </c>
      <c r="J538" s="93" t="str">
        <f t="shared" si="422"/>
        <v/>
      </c>
      <c r="K538" s="94" t="s">
        <v>549</v>
      </c>
      <c r="L538" s="95" t="str">
        <f t="shared" si="423"/>
        <v/>
      </c>
      <c r="M538" s="96" t="str">
        <f t="shared" si="424"/>
        <v/>
      </c>
      <c r="N538" s="97" t="s">
        <v>549</v>
      </c>
      <c r="O538" s="97" t="str">
        <f t="shared" si="425"/>
        <v/>
      </c>
      <c r="P538" s="95" t="str">
        <f t="shared" si="426"/>
        <v/>
      </c>
      <c r="Q538" s="98" t="str">
        <f t="shared" si="427"/>
        <v/>
      </c>
      <c r="R538" s="119"/>
    </row>
    <row r="539" spans="1:18" ht="15.6" x14ac:dyDescent="0.3">
      <c r="A539" s="86" t="str">
        <f>IF(TRIM(H539)&lt;&gt;"",COUNTA(H$9:$H539)&amp;"","")</f>
        <v/>
      </c>
      <c r="B539" s="87"/>
      <c r="C539" s="87"/>
      <c r="D539" s="88"/>
      <c r="E539" s="164" t="s">
        <v>660</v>
      </c>
      <c r="F539" s="90"/>
      <c r="H539" s="91"/>
      <c r="I539" s="92" t="str">
        <f t="shared" si="435"/>
        <v/>
      </c>
      <c r="J539" s="93" t="str">
        <f t="shared" si="422"/>
        <v/>
      </c>
      <c r="K539" s="94" t="s">
        <v>549</v>
      </c>
      <c r="L539" s="95" t="str">
        <f t="shared" si="423"/>
        <v/>
      </c>
      <c r="M539" s="96" t="str">
        <f t="shared" si="424"/>
        <v/>
      </c>
      <c r="N539" s="97" t="s">
        <v>549</v>
      </c>
      <c r="O539" s="97" t="str">
        <f t="shared" si="425"/>
        <v/>
      </c>
      <c r="P539" s="95" t="str">
        <f t="shared" si="426"/>
        <v/>
      </c>
      <c r="Q539" s="98" t="str">
        <f t="shared" si="427"/>
        <v/>
      </c>
      <c r="R539" s="119"/>
    </row>
    <row r="540" spans="1:18" x14ac:dyDescent="0.3">
      <c r="A540" s="86" t="str">
        <f>IF(TRIM(H540)&lt;&gt;"",COUNTA(H$9:$H540)&amp;"","")</f>
        <v>378</v>
      </c>
      <c r="B540" s="87" t="s">
        <v>613</v>
      </c>
      <c r="C540" s="87" t="s">
        <v>613</v>
      </c>
      <c r="D540" s="88"/>
      <c r="E540" s="89" t="s">
        <v>661</v>
      </c>
      <c r="F540" s="90">
        <v>1</v>
      </c>
      <c r="H540" s="91" t="s">
        <v>239</v>
      </c>
      <c r="I540" s="92">
        <f t="shared" si="435"/>
        <v>0</v>
      </c>
      <c r="J540" s="93">
        <f t="shared" si="422"/>
        <v>1</v>
      </c>
      <c r="K540" s="94">
        <v>60</v>
      </c>
      <c r="L540" s="95">
        <f t="shared" si="423"/>
        <v>60</v>
      </c>
      <c r="M540" s="96">
        <f t="shared" si="424"/>
        <v>75</v>
      </c>
      <c r="N540" s="97">
        <v>0.375</v>
      </c>
      <c r="O540" s="97">
        <f t="shared" si="425"/>
        <v>0.375</v>
      </c>
      <c r="P540" s="95">
        <f t="shared" si="426"/>
        <v>28.125</v>
      </c>
      <c r="Q540" s="98">
        <f t="shared" si="427"/>
        <v>88.125</v>
      </c>
      <c r="R540" s="119"/>
    </row>
    <row r="541" spans="1:18" ht="41.4" x14ac:dyDescent="0.3">
      <c r="A541" s="86" t="str">
        <f>IF(TRIM(H541)&lt;&gt;"",COUNTA(H$9:$H541)&amp;"","")</f>
        <v>379</v>
      </c>
      <c r="B541" s="87" t="s">
        <v>613</v>
      </c>
      <c r="C541" s="87" t="s">
        <v>613</v>
      </c>
      <c r="D541" s="88"/>
      <c r="E541" s="89" t="s">
        <v>662</v>
      </c>
      <c r="F541" s="90">
        <v>1</v>
      </c>
      <c r="H541" s="91" t="s">
        <v>239</v>
      </c>
      <c r="I541" s="92">
        <f t="shared" si="435"/>
        <v>0</v>
      </c>
      <c r="J541" s="93">
        <f t="shared" si="422"/>
        <v>1</v>
      </c>
      <c r="K541" s="94">
        <v>2000</v>
      </c>
      <c r="L541" s="95">
        <f t="shared" si="423"/>
        <v>2000</v>
      </c>
      <c r="M541" s="96">
        <f t="shared" si="424"/>
        <v>75</v>
      </c>
      <c r="N541" s="97">
        <v>12.5</v>
      </c>
      <c r="O541" s="97">
        <f t="shared" si="425"/>
        <v>12.5</v>
      </c>
      <c r="P541" s="95">
        <f t="shared" si="426"/>
        <v>937.5</v>
      </c>
      <c r="Q541" s="98">
        <f t="shared" si="427"/>
        <v>2937.5</v>
      </c>
      <c r="R541" s="119"/>
    </row>
    <row r="542" spans="1:18" ht="69" x14ac:dyDescent="0.3">
      <c r="A542" s="86" t="str">
        <f>IF(TRIM(H542)&lt;&gt;"",COUNTA(H$9:$H542)&amp;"","")</f>
        <v>380</v>
      </c>
      <c r="B542" s="87" t="s">
        <v>613</v>
      </c>
      <c r="C542" s="87" t="s">
        <v>613</v>
      </c>
      <c r="D542" s="88"/>
      <c r="E542" s="89" t="s">
        <v>663</v>
      </c>
      <c r="F542" s="90">
        <v>4</v>
      </c>
      <c r="H542" s="91" t="s">
        <v>239</v>
      </c>
      <c r="I542" s="92">
        <f t="shared" si="435"/>
        <v>0</v>
      </c>
      <c r="J542" s="93">
        <f t="shared" si="422"/>
        <v>4</v>
      </c>
      <c r="K542" s="94">
        <v>1000</v>
      </c>
      <c r="L542" s="95">
        <f t="shared" si="423"/>
        <v>4000</v>
      </c>
      <c r="M542" s="96">
        <f t="shared" si="424"/>
        <v>75</v>
      </c>
      <c r="N542" s="97">
        <v>6.25</v>
      </c>
      <c r="O542" s="97">
        <f t="shared" si="425"/>
        <v>25</v>
      </c>
      <c r="P542" s="95">
        <f t="shared" si="426"/>
        <v>1875</v>
      </c>
      <c r="Q542" s="98">
        <f t="shared" si="427"/>
        <v>5875</v>
      </c>
      <c r="R542" s="119"/>
    </row>
    <row r="543" spans="1:18" ht="96.6" x14ac:dyDescent="0.3">
      <c r="A543" s="86" t="str">
        <f>IF(TRIM(H543)&lt;&gt;"",COUNTA(H$9:$H543)&amp;"","")</f>
        <v>381</v>
      </c>
      <c r="B543" s="87" t="s">
        <v>613</v>
      </c>
      <c r="C543" s="87" t="s">
        <v>613</v>
      </c>
      <c r="D543" s="88"/>
      <c r="E543" s="89" t="s">
        <v>664</v>
      </c>
      <c r="F543" s="90">
        <v>1</v>
      </c>
      <c r="H543" s="91" t="s">
        <v>239</v>
      </c>
      <c r="I543" s="92">
        <f t="shared" si="435"/>
        <v>0</v>
      </c>
      <c r="J543" s="93">
        <f t="shared" si="422"/>
        <v>1</v>
      </c>
      <c r="K543" s="94">
        <v>960</v>
      </c>
      <c r="L543" s="95">
        <f t="shared" si="423"/>
        <v>960</v>
      </c>
      <c r="M543" s="96">
        <f t="shared" si="424"/>
        <v>75</v>
      </c>
      <c r="N543" s="97">
        <v>6</v>
      </c>
      <c r="O543" s="97">
        <f t="shared" si="425"/>
        <v>6</v>
      </c>
      <c r="P543" s="95">
        <f t="shared" si="426"/>
        <v>450</v>
      </c>
      <c r="Q543" s="98">
        <f t="shared" si="427"/>
        <v>1410</v>
      </c>
      <c r="R543" s="119"/>
    </row>
    <row r="544" spans="1:18" ht="55.2" x14ac:dyDescent="0.3">
      <c r="A544" s="86" t="str">
        <f>IF(TRIM(H544)&lt;&gt;"",COUNTA(H$9:$H544)&amp;"","")</f>
        <v>382</v>
      </c>
      <c r="B544" s="87" t="s">
        <v>613</v>
      </c>
      <c r="C544" s="87" t="s">
        <v>613</v>
      </c>
      <c r="D544" s="88"/>
      <c r="E544" s="89" t="s">
        <v>665</v>
      </c>
      <c r="F544" s="90">
        <v>2</v>
      </c>
      <c r="H544" s="91" t="s">
        <v>239</v>
      </c>
      <c r="I544" s="92">
        <f t="shared" si="435"/>
        <v>0</v>
      </c>
      <c r="J544" s="93">
        <f t="shared" si="422"/>
        <v>2</v>
      </c>
      <c r="K544" s="94">
        <v>1320</v>
      </c>
      <c r="L544" s="95">
        <f t="shared" si="423"/>
        <v>2640</v>
      </c>
      <c r="M544" s="96">
        <f t="shared" si="424"/>
        <v>75</v>
      </c>
      <c r="N544" s="97">
        <v>8.25</v>
      </c>
      <c r="O544" s="97">
        <f t="shared" si="425"/>
        <v>16.5</v>
      </c>
      <c r="P544" s="95">
        <f t="shared" si="426"/>
        <v>1237.5</v>
      </c>
      <c r="Q544" s="98">
        <f t="shared" si="427"/>
        <v>3877.5</v>
      </c>
      <c r="R544" s="119"/>
    </row>
    <row r="545" spans="1:18" x14ac:dyDescent="0.3">
      <c r="A545" s="86" t="str">
        <f>IF(TRIM(H545)&lt;&gt;"",COUNTA(H$9:$H545)&amp;"","")</f>
        <v>383</v>
      </c>
      <c r="B545" s="87" t="s">
        <v>613</v>
      </c>
      <c r="C545" s="87" t="s">
        <v>613</v>
      </c>
      <c r="D545" s="88"/>
      <c r="E545" s="89" t="s">
        <v>666</v>
      </c>
      <c r="F545" s="90">
        <v>1</v>
      </c>
      <c r="H545" s="91" t="s">
        <v>239</v>
      </c>
      <c r="I545" s="92">
        <f t="shared" si="435"/>
        <v>0</v>
      </c>
      <c r="J545" s="93">
        <f t="shared" si="422"/>
        <v>1</v>
      </c>
      <c r="K545" s="94">
        <v>620</v>
      </c>
      <c r="L545" s="95">
        <f t="shared" si="423"/>
        <v>620</v>
      </c>
      <c r="M545" s="96">
        <f t="shared" si="424"/>
        <v>75</v>
      </c>
      <c r="N545" s="97">
        <v>3.875</v>
      </c>
      <c r="O545" s="97">
        <f t="shared" si="425"/>
        <v>3.875</v>
      </c>
      <c r="P545" s="95">
        <f t="shared" si="426"/>
        <v>290.625</v>
      </c>
      <c r="Q545" s="98">
        <f t="shared" si="427"/>
        <v>910.625</v>
      </c>
      <c r="R545" s="119"/>
    </row>
    <row r="546" spans="1:18" ht="96.6" x14ac:dyDescent="0.3">
      <c r="A546" s="86" t="str">
        <f>IF(TRIM(H546)&lt;&gt;"",COUNTA(H$9:$H546)&amp;"","")</f>
        <v>384</v>
      </c>
      <c r="B546" s="87" t="s">
        <v>613</v>
      </c>
      <c r="C546" s="87" t="s">
        <v>613</v>
      </c>
      <c r="D546" s="88"/>
      <c r="E546" s="89" t="s">
        <v>667</v>
      </c>
      <c r="F546" s="90">
        <v>4</v>
      </c>
      <c r="H546" s="91" t="s">
        <v>239</v>
      </c>
      <c r="I546" s="92">
        <f t="shared" si="435"/>
        <v>0</v>
      </c>
      <c r="J546" s="93">
        <f t="shared" si="422"/>
        <v>4</v>
      </c>
      <c r="K546" s="94">
        <v>860</v>
      </c>
      <c r="L546" s="95">
        <f t="shared" si="423"/>
        <v>3440</v>
      </c>
      <c r="M546" s="96">
        <f t="shared" si="424"/>
        <v>75</v>
      </c>
      <c r="N546" s="97">
        <v>5.375</v>
      </c>
      <c r="O546" s="97">
        <f t="shared" si="425"/>
        <v>21.5</v>
      </c>
      <c r="P546" s="95">
        <f t="shared" si="426"/>
        <v>1612.5</v>
      </c>
      <c r="Q546" s="98">
        <f t="shared" si="427"/>
        <v>5052.5</v>
      </c>
      <c r="R546" s="119"/>
    </row>
    <row r="547" spans="1:18" ht="41.4" x14ac:dyDescent="0.3">
      <c r="A547" s="86" t="str">
        <f>IF(TRIM(H547)&lt;&gt;"",COUNTA(H$9:$H547)&amp;"","")</f>
        <v>385</v>
      </c>
      <c r="B547" s="87" t="s">
        <v>613</v>
      </c>
      <c r="C547" s="87" t="s">
        <v>613</v>
      </c>
      <c r="D547" s="88"/>
      <c r="E547" s="89" t="s">
        <v>668</v>
      </c>
      <c r="F547" s="90">
        <v>1</v>
      </c>
      <c r="H547" s="91" t="s">
        <v>239</v>
      </c>
      <c r="I547" s="92">
        <f t="shared" si="435"/>
        <v>0</v>
      </c>
      <c r="J547" s="93">
        <f t="shared" si="422"/>
        <v>1</v>
      </c>
      <c r="K547" s="94">
        <v>2000</v>
      </c>
      <c r="L547" s="95">
        <f t="shared" si="423"/>
        <v>2000</v>
      </c>
      <c r="M547" s="96">
        <f t="shared" si="424"/>
        <v>75</v>
      </c>
      <c r="N547" s="97">
        <v>12.5</v>
      </c>
      <c r="O547" s="97">
        <f t="shared" si="425"/>
        <v>12.5</v>
      </c>
      <c r="P547" s="95">
        <f t="shared" si="426"/>
        <v>937.5</v>
      </c>
      <c r="Q547" s="98">
        <f t="shared" si="427"/>
        <v>2937.5</v>
      </c>
      <c r="R547" s="119"/>
    </row>
    <row r="548" spans="1:18" x14ac:dyDescent="0.3">
      <c r="A548" s="86" t="str">
        <f>IF(TRIM(H548)&lt;&gt;"",COUNTA(H$9:$H548)&amp;"","")</f>
        <v/>
      </c>
      <c r="B548" s="87"/>
      <c r="C548" s="87"/>
      <c r="D548" s="88"/>
      <c r="E548" s="100" t="s">
        <v>549</v>
      </c>
      <c r="F548" s="90"/>
      <c r="H548" s="91"/>
      <c r="I548" s="92" t="str">
        <f t="shared" si="435"/>
        <v/>
      </c>
      <c r="J548" s="93" t="str">
        <f t="shared" si="422"/>
        <v/>
      </c>
      <c r="K548" s="94" t="s">
        <v>549</v>
      </c>
      <c r="L548" s="95" t="str">
        <f t="shared" si="423"/>
        <v/>
      </c>
      <c r="M548" s="96" t="str">
        <f t="shared" si="424"/>
        <v/>
      </c>
      <c r="N548" s="97" t="s">
        <v>549</v>
      </c>
      <c r="O548" s="97" t="str">
        <f t="shared" si="425"/>
        <v/>
      </c>
      <c r="P548" s="95" t="str">
        <f t="shared" si="426"/>
        <v/>
      </c>
      <c r="Q548" s="98" t="str">
        <f t="shared" si="427"/>
        <v/>
      </c>
      <c r="R548" s="119"/>
    </row>
    <row r="549" spans="1:18" ht="15.6" x14ac:dyDescent="0.3">
      <c r="A549" s="86" t="str">
        <f>IF(TRIM(H549)&lt;&gt;"",COUNTA(H$9:$H549)&amp;"","")</f>
        <v/>
      </c>
      <c r="B549" s="87"/>
      <c r="C549" s="87"/>
      <c r="D549" s="88"/>
      <c r="E549" s="164" t="s">
        <v>63</v>
      </c>
      <c r="F549" s="90"/>
      <c r="H549" s="91"/>
      <c r="I549" s="92" t="str">
        <f t="shared" si="435"/>
        <v/>
      </c>
      <c r="J549" s="93" t="str">
        <f t="shared" si="422"/>
        <v/>
      </c>
      <c r="K549" s="94" t="s">
        <v>549</v>
      </c>
      <c r="L549" s="95" t="str">
        <f t="shared" si="423"/>
        <v/>
      </c>
      <c r="M549" s="96" t="str">
        <f t="shared" si="424"/>
        <v/>
      </c>
      <c r="N549" s="97" t="s">
        <v>549</v>
      </c>
      <c r="O549" s="97" t="str">
        <f t="shared" si="425"/>
        <v/>
      </c>
      <c r="P549" s="95" t="str">
        <f t="shared" si="426"/>
        <v/>
      </c>
      <c r="Q549" s="98" t="str">
        <f t="shared" si="427"/>
        <v/>
      </c>
      <c r="R549" s="119"/>
    </row>
    <row r="550" spans="1:18" ht="69" x14ac:dyDescent="0.3">
      <c r="A550" s="86" t="str">
        <f>IF(TRIM(H550)&lt;&gt;"",COUNTA(H$9:$H550)&amp;"","")</f>
        <v>386</v>
      </c>
      <c r="B550" s="87" t="s">
        <v>613</v>
      </c>
      <c r="C550" s="87" t="s">
        <v>613</v>
      </c>
      <c r="D550" s="88"/>
      <c r="E550" s="89" t="s">
        <v>669</v>
      </c>
      <c r="F550" s="90">
        <v>1</v>
      </c>
      <c r="H550" s="91" t="s">
        <v>239</v>
      </c>
      <c r="I550" s="92">
        <f t="shared" si="435"/>
        <v>0</v>
      </c>
      <c r="J550" s="93">
        <f t="shared" si="422"/>
        <v>1</v>
      </c>
      <c r="K550" s="94">
        <v>3600</v>
      </c>
      <c r="L550" s="95">
        <f t="shared" si="423"/>
        <v>3600</v>
      </c>
      <c r="M550" s="96">
        <f t="shared" si="424"/>
        <v>75</v>
      </c>
      <c r="N550" s="97">
        <v>22.5</v>
      </c>
      <c r="O550" s="97">
        <f t="shared" si="425"/>
        <v>22.5</v>
      </c>
      <c r="P550" s="95">
        <f t="shared" si="426"/>
        <v>1687.5</v>
      </c>
      <c r="Q550" s="98">
        <f t="shared" si="427"/>
        <v>5287.5</v>
      </c>
      <c r="R550" s="119"/>
    </row>
    <row r="551" spans="1:18" ht="55.2" x14ac:dyDescent="0.3">
      <c r="A551" s="86" t="str">
        <f>IF(TRIM(H551)&lt;&gt;"",COUNTA(H$9:$H551)&amp;"","")</f>
        <v>387</v>
      </c>
      <c r="B551" s="87" t="s">
        <v>613</v>
      </c>
      <c r="C551" s="87" t="s">
        <v>613</v>
      </c>
      <c r="D551" s="88"/>
      <c r="E551" s="89" t="s">
        <v>670</v>
      </c>
      <c r="F551" s="90">
        <v>1</v>
      </c>
      <c r="H551" s="91" t="s">
        <v>239</v>
      </c>
      <c r="I551" s="92">
        <f t="shared" si="435"/>
        <v>0</v>
      </c>
      <c r="J551" s="93">
        <f t="shared" si="422"/>
        <v>1</v>
      </c>
      <c r="K551" s="94">
        <v>1200</v>
      </c>
      <c r="L551" s="95">
        <f t="shared" si="423"/>
        <v>1200</v>
      </c>
      <c r="M551" s="96">
        <f t="shared" si="424"/>
        <v>75</v>
      </c>
      <c r="N551" s="97">
        <v>7.5</v>
      </c>
      <c r="O551" s="97">
        <f t="shared" si="425"/>
        <v>7.5</v>
      </c>
      <c r="P551" s="95">
        <f t="shared" si="426"/>
        <v>562.5</v>
      </c>
      <c r="Q551" s="98">
        <f t="shared" si="427"/>
        <v>1762.5</v>
      </c>
      <c r="R551" s="119"/>
    </row>
    <row r="552" spans="1:18" ht="41.4" x14ac:dyDescent="0.3">
      <c r="A552" s="86" t="str">
        <f>IF(TRIM(H552)&lt;&gt;"",COUNTA(H$9:$H552)&amp;"","")</f>
        <v>388</v>
      </c>
      <c r="B552" s="87" t="s">
        <v>613</v>
      </c>
      <c r="C552" s="87" t="s">
        <v>613</v>
      </c>
      <c r="D552" s="88"/>
      <c r="E552" s="89" t="s">
        <v>671</v>
      </c>
      <c r="F552" s="90">
        <v>1</v>
      </c>
      <c r="H552" s="91" t="s">
        <v>239</v>
      </c>
      <c r="I552" s="92">
        <f t="shared" si="435"/>
        <v>0</v>
      </c>
      <c r="J552" s="93">
        <f t="shared" si="422"/>
        <v>1</v>
      </c>
      <c r="K552" s="94">
        <v>6500</v>
      </c>
      <c r="L552" s="95">
        <f t="shared" si="423"/>
        <v>6500</v>
      </c>
      <c r="M552" s="96">
        <f t="shared" si="424"/>
        <v>75</v>
      </c>
      <c r="N552" s="97">
        <v>40.625</v>
      </c>
      <c r="O552" s="97">
        <f t="shared" si="425"/>
        <v>40.625</v>
      </c>
      <c r="P552" s="95">
        <f t="shared" si="426"/>
        <v>3046.875</v>
      </c>
      <c r="Q552" s="98">
        <f t="shared" si="427"/>
        <v>9546.875</v>
      </c>
      <c r="R552" s="119"/>
    </row>
    <row r="553" spans="1:18" x14ac:dyDescent="0.3">
      <c r="A553" s="86" t="str">
        <f>IF(TRIM(H553)&lt;&gt;"",COUNTA(H$9:$H553)&amp;"","")</f>
        <v/>
      </c>
      <c r="B553" s="87"/>
      <c r="C553" s="87"/>
      <c r="D553" s="88"/>
      <c r="E553" s="89" t="s">
        <v>549</v>
      </c>
      <c r="F553" s="90"/>
      <c r="H553" s="91"/>
      <c r="I553" s="92" t="str">
        <f t="shared" si="435"/>
        <v/>
      </c>
      <c r="J553" s="93" t="str">
        <f t="shared" si="422"/>
        <v/>
      </c>
      <c r="K553" s="94" t="s">
        <v>549</v>
      </c>
      <c r="L553" s="95" t="str">
        <f t="shared" si="423"/>
        <v/>
      </c>
      <c r="M553" s="96" t="str">
        <f t="shared" si="424"/>
        <v/>
      </c>
      <c r="N553" s="97" t="s">
        <v>549</v>
      </c>
      <c r="O553" s="97" t="str">
        <f t="shared" si="425"/>
        <v/>
      </c>
      <c r="P553" s="95" t="str">
        <f t="shared" si="426"/>
        <v/>
      </c>
      <c r="Q553" s="98" t="str">
        <f t="shared" si="427"/>
        <v/>
      </c>
      <c r="R553" s="119"/>
    </row>
    <row r="554" spans="1:18" x14ac:dyDescent="0.3">
      <c r="A554" s="86" t="str">
        <f>IF(TRIM(H554)&lt;&gt;"",COUNTA(H$9:$H554)&amp;"","")</f>
        <v/>
      </c>
      <c r="B554" s="87"/>
      <c r="C554" s="87"/>
      <c r="D554" s="88"/>
      <c r="E554" s="124" t="s">
        <v>672</v>
      </c>
      <c r="F554" s="90"/>
      <c r="H554" s="91"/>
      <c r="I554" s="92" t="str">
        <f t="shared" si="435"/>
        <v/>
      </c>
      <c r="J554" s="93" t="str">
        <f t="shared" si="422"/>
        <v/>
      </c>
      <c r="K554" s="94" t="s">
        <v>549</v>
      </c>
      <c r="L554" s="95" t="str">
        <f t="shared" si="423"/>
        <v/>
      </c>
      <c r="M554" s="96" t="str">
        <f t="shared" si="424"/>
        <v/>
      </c>
      <c r="N554" s="97" t="s">
        <v>549</v>
      </c>
      <c r="O554" s="97" t="str">
        <f t="shared" si="425"/>
        <v/>
      </c>
      <c r="P554" s="95" t="str">
        <f t="shared" si="426"/>
        <v/>
      </c>
      <c r="Q554" s="98" t="str">
        <f t="shared" si="427"/>
        <v/>
      </c>
      <c r="R554" s="119"/>
    </row>
    <row r="555" spans="1:18" ht="41.4" x14ac:dyDescent="0.3">
      <c r="A555" s="86" t="str">
        <f>IF(TRIM(H555)&lt;&gt;"",COUNTA(H$9:$H555)&amp;"","")</f>
        <v>389</v>
      </c>
      <c r="B555" s="87" t="s">
        <v>673</v>
      </c>
      <c r="C555" s="87" t="s">
        <v>673</v>
      </c>
      <c r="D555" s="88"/>
      <c r="E555" s="89" t="s">
        <v>674</v>
      </c>
      <c r="F555" s="90">
        <v>1</v>
      </c>
      <c r="H555" s="91" t="s">
        <v>239</v>
      </c>
      <c r="I555" s="92">
        <f t="shared" si="435"/>
        <v>0</v>
      </c>
      <c r="J555" s="93">
        <f t="shared" si="422"/>
        <v>1</v>
      </c>
      <c r="K555" s="94">
        <v>0</v>
      </c>
      <c r="L555" s="95">
        <f t="shared" si="423"/>
        <v>0</v>
      </c>
      <c r="M555" s="96">
        <f t="shared" si="424"/>
        <v>75</v>
      </c>
      <c r="N555" s="97">
        <v>12.46875</v>
      </c>
      <c r="O555" s="97">
        <f t="shared" si="425"/>
        <v>12.46875</v>
      </c>
      <c r="P555" s="95">
        <f t="shared" si="426"/>
        <v>935.15625</v>
      </c>
      <c r="Q555" s="98">
        <f t="shared" si="427"/>
        <v>935.15625</v>
      </c>
      <c r="R555" s="119"/>
    </row>
    <row r="556" spans="1:18" ht="110.4" x14ac:dyDescent="0.3">
      <c r="A556" s="86" t="str">
        <f>IF(TRIM(H556)&lt;&gt;"",COUNTA(H$9:$H556)&amp;"","")</f>
        <v>390</v>
      </c>
      <c r="B556" s="87" t="s">
        <v>673</v>
      </c>
      <c r="C556" s="87" t="s">
        <v>673</v>
      </c>
      <c r="D556" s="88"/>
      <c r="E556" s="89" t="s">
        <v>675</v>
      </c>
      <c r="F556" s="90">
        <v>1</v>
      </c>
      <c r="H556" s="91" t="s">
        <v>239</v>
      </c>
      <c r="I556" s="92">
        <f t="shared" si="435"/>
        <v>0</v>
      </c>
      <c r="J556" s="93">
        <f t="shared" si="422"/>
        <v>1</v>
      </c>
      <c r="K556" s="94">
        <v>0</v>
      </c>
      <c r="L556" s="95">
        <f t="shared" si="423"/>
        <v>0</v>
      </c>
      <c r="M556" s="96">
        <f t="shared" si="424"/>
        <v>75</v>
      </c>
      <c r="N556" s="97">
        <v>12.5</v>
      </c>
      <c r="O556" s="97">
        <f t="shared" si="425"/>
        <v>12.5</v>
      </c>
      <c r="P556" s="95">
        <f t="shared" si="426"/>
        <v>937.5</v>
      </c>
      <c r="Q556" s="98">
        <f t="shared" si="427"/>
        <v>937.5</v>
      </c>
      <c r="R556" s="119"/>
    </row>
    <row r="557" spans="1:18" x14ac:dyDescent="0.3">
      <c r="A557" s="86" t="str">
        <f>IF(TRIM(H557)&lt;&gt;"",COUNTA(H$9:$H557)&amp;"","")</f>
        <v>391</v>
      </c>
      <c r="B557" s="87" t="s">
        <v>673</v>
      </c>
      <c r="C557" s="87" t="s">
        <v>673</v>
      </c>
      <c r="D557" s="88"/>
      <c r="E557" s="89" t="s">
        <v>676</v>
      </c>
      <c r="F557" s="90">
        <v>1</v>
      </c>
      <c r="H557" s="91" t="s">
        <v>239</v>
      </c>
      <c r="I557" s="92">
        <f t="shared" si="435"/>
        <v>0</v>
      </c>
      <c r="J557" s="93">
        <f t="shared" si="422"/>
        <v>1</v>
      </c>
      <c r="K557" s="94">
        <v>0</v>
      </c>
      <c r="L557" s="95">
        <f t="shared" si="423"/>
        <v>0</v>
      </c>
      <c r="M557" s="96">
        <f t="shared" si="424"/>
        <v>75</v>
      </c>
      <c r="N557" s="97">
        <v>12.5</v>
      </c>
      <c r="O557" s="97">
        <f t="shared" si="425"/>
        <v>12.5</v>
      </c>
      <c r="P557" s="95">
        <f t="shared" si="426"/>
        <v>937.5</v>
      </c>
      <c r="Q557" s="98">
        <f t="shared" si="427"/>
        <v>937.5</v>
      </c>
      <c r="R557" s="119"/>
    </row>
    <row r="558" spans="1:18" ht="27.6" x14ac:dyDescent="0.3">
      <c r="A558" s="86" t="str">
        <f>IF(TRIM(H558)&lt;&gt;"",COUNTA(H$9:$H558)&amp;"","")</f>
        <v>392</v>
      </c>
      <c r="B558" s="87" t="s">
        <v>673</v>
      </c>
      <c r="C558" s="87" t="s">
        <v>673</v>
      </c>
      <c r="D558" s="88"/>
      <c r="E558" s="89" t="s">
        <v>677</v>
      </c>
      <c r="F558" s="90">
        <v>1</v>
      </c>
      <c r="H558" s="91" t="s">
        <v>239</v>
      </c>
      <c r="I558" s="92">
        <f t="shared" si="435"/>
        <v>0</v>
      </c>
      <c r="J558" s="93">
        <f t="shared" si="422"/>
        <v>1</v>
      </c>
      <c r="K558" s="94">
        <v>0</v>
      </c>
      <c r="L558" s="95">
        <f t="shared" si="423"/>
        <v>0</v>
      </c>
      <c r="M558" s="96">
        <f t="shared" si="424"/>
        <v>75</v>
      </c>
      <c r="N558" s="97">
        <v>2.28125</v>
      </c>
      <c r="O558" s="97">
        <f t="shared" si="425"/>
        <v>2.28125</v>
      </c>
      <c r="P558" s="95">
        <f t="shared" si="426"/>
        <v>171.09375</v>
      </c>
      <c r="Q558" s="98">
        <f t="shared" si="427"/>
        <v>171.09375</v>
      </c>
      <c r="R558" s="119"/>
    </row>
    <row r="559" spans="1:18" x14ac:dyDescent="0.3">
      <c r="A559" s="86" t="str">
        <f>IF(TRIM(H559)&lt;&gt;"",COUNTA(H$9:$H559)&amp;"","")</f>
        <v>393</v>
      </c>
      <c r="B559" s="87" t="s">
        <v>673</v>
      </c>
      <c r="C559" s="87" t="s">
        <v>673</v>
      </c>
      <c r="D559" s="88"/>
      <c r="E559" s="89" t="s">
        <v>678</v>
      </c>
      <c r="F559" s="90">
        <v>1</v>
      </c>
      <c r="H559" s="91" t="s">
        <v>239</v>
      </c>
      <c r="I559" s="92">
        <f t="shared" si="435"/>
        <v>0</v>
      </c>
      <c r="J559" s="93">
        <f t="shared" si="422"/>
        <v>1</v>
      </c>
      <c r="K559" s="94">
        <v>0</v>
      </c>
      <c r="L559" s="95">
        <f t="shared" si="423"/>
        <v>0</v>
      </c>
      <c r="M559" s="96">
        <f t="shared" si="424"/>
        <v>75</v>
      </c>
      <c r="N559" s="97">
        <v>0.41249999999999998</v>
      </c>
      <c r="O559" s="97">
        <f t="shared" si="425"/>
        <v>0.41249999999999998</v>
      </c>
      <c r="P559" s="95">
        <f t="shared" si="426"/>
        <v>30.9375</v>
      </c>
      <c r="Q559" s="98">
        <f t="shared" si="427"/>
        <v>30.9375</v>
      </c>
      <c r="R559" s="119"/>
    </row>
    <row r="560" spans="1:18" ht="41.4" x14ac:dyDescent="0.3">
      <c r="A560" s="86" t="str">
        <f>IF(TRIM(H560)&lt;&gt;"",COUNTA(H$9:$H560)&amp;"","")</f>
        <v>394</v>
      </c>
      <c r="B560" s="87" t="s">
        <v>673</v>
      </c>
      <c r="C560" s="87" t="s">
        <v>673</v>
      </c>
      <c r="D560" s="88"/>
      <c r="E560" s="89" t="s">
        <v>679</v>
      </c>
      <c r="F560" s="90">
        <v>1</v>
      </c>
      <c r="H560" s="91" t="s">
        <v>239</v>
      </c>
      <c r="I560" s="92">
        <f t="shared" si="435"/>
        <v>0</v>
      </c>
      <c r="J560" s="93">
        <f t="shared" si="422"/>
        <v>1</v>
      </c>
      <c r="K560" s="94">
        <v>0</v>
      </c>
      <c r="L560" s="95">
        <f t="shared" si="423"/>
        <v>0</v>
      </c>
      <c r="M560" s="96">
        <f t="shared" si="424"/>
        <v>75</v>
      </c>
      <c r="N560" s="97">
        <v>4.21875</v>
      </c>
      <c r="O560" s="97">
        <f t="shared" si="425"/>
        <v>4.21875</v>
      </c>
      <c r="P560" s="95">
        <f t="shared" si="426"/>
        <v>316.40625</v>
      </c>
      <c r="Q560" s="98">
        <f t="shared" si="427"/>
        <v>316.40625</v>
      </c>
      <c r="R560" s="119"/>
    </row>
    <row r="561" spans="1:18" ht="55.2" x14ac:dyDescent="0.3">
      <c r="A561" s="86" t="str">
        <f>IF(TRIM(H561)&lt;&gt;"",COUNTA(H$9:$H561)&amp;"","")</f>
        <v>395</v>
      </c>
      <c r="B561" s="87" t="s">
        <v>673</v>
      </c>
      <c r="C561" s="87" t="s">
        <v>673</v>
      </c>
      <c r="D561" s="88"/>
      <c r="E561" s="89" t="s">
        <v>680</v>
      </c>
      <c r="F561" s="90">
        <v>3</v>
      </c>
      <c r="H561" s="91" t="s">
        <v>239</v>
      </c>
      <c r="I561" s="92">
        <f t="shared" si="435"/>
        <v>0</v>
      </c>
      <c r="J561" s="93">
        <f t="shared" si="422"/>
        <v>3</v>
      </c>
      <c r="K561" s="94">
        <v>0</v>
      </c>
      <c r="L561" s="95">
        <f t="shared" si="423"/>
        <v>0</v>
      </c>
      <c r="M561" s="96">
        <f t="shared" si="424"/>
        <v>75</v>
      </c>
      <c r="N561" s="97">
        <v>2.125</v>
      </c>
      <c r="O561" s="97">
        <f t="shared" si="425"/>
        <v>6.375</v>
      </c>
      <c r="P561" s="95">
        <f t="shared" si="426"/>
        <v>478.125</v>
      </c>
      <c r="Q561" s="98">
        <f t="shared" si="427"/>
        <v>478.125</v>
      </c>
      <c r="R561" s="119"/>
    </row>
    <row r="562" spans="1:18" x14ac:dyDescent="0.3">
      <c r="A562" s="86" t="str">
        <f>IF(TRIM(H562)&lt;&gt;"",COUNTA(H$9:$H562)&amp;"","")</f>
        <v>396</v>
      </c>
      <c r="B562" s="87" t="s">
        <v>673</v>
      </c>
      <c r="C562" s="87" t="s">
        <v>673</v>
      </c>
      <c r="D562" s="88"/>
      <c r="E562" s="89" t="s">
        <v>681</v>
      </c>
      <c r="F562" s="90">
        <v>1</v>
      </c>
      <c r="H562" s="91" t="s">
        <v>239</v>
      </c>
      <c r="I562" s="92">
        <f t="shared" si="435"/>
        <v>0</v>
      </c>
      <c r="J562" s="93">
        <f t="shared" si="422"/>
        <v>1</v>
      </c>
      <c r="K562" s="94">
        <v>0</v>
      </c>
      <c r="L562" s="95">
        <f t="shared" si="423"/>
        <v>0</v>
      </c>
      <c r="M562" s="96">
        <f t="shared" si="424"/>
        <v>75</v>
      </c>
      <c r="N562" s="97">
        <v>12.5</v>
      </c>
      <c r="O562" s="97">
        <f t="shared" si="425"/>
        <v>12.5</v>
      </c>
      <c r="P562" s="95">
        <f t="shared" si="426"/>
        <v>937.5</v>
      </c>
      <c r="Q562" s="98">
        <f t="shared" si="427"/>
        <v>937.5</v>
      </c>
      <c r="R562" s="119"/>
    </row>
    <row r="563" spans="1:18" ht="55.2" x14ac:dyDescent="0.3">
      <c r="A563" s="86" t="str">
        <f>IF(TRIM(H563)&lt;&gt;"",COUNTA(H$9:$H563)&amp;"","")</f>
        <v>397</v>
      </c>
      <c r="B563" s="87" t="s">
        <v>673</v>
      </c>
      <c r="C563" s="87" t="s">
        <v>673</v>
      </c>
      <c r="D563" s="88"/>
      <c r="E563" s="89" t="s">
        <v>682</v>
      </c>
      <c r="F563" s="90">
        <v>1</v>
      </c>
      <c r="H563" s="91" t="s">
        <v>239</v>
      </c>
      <c r="I563" s="92">
        <f t="shared" si="435"/>
        <v>0</v>
      </c>
      <c r="J563" s="93">
        <f t="shared" si="422"/>
        <v>1</v>
      </c>
      <c r="K563" s="94">
        <v>0</v>
      </c>
      <c r="L563" s="95">
        <f t="shared" si="423"/>
        <v>0</v>
      </c>
      <c r="M563" s="96">
        <f t="shared" si="424"/>
        <v>75</v>
      </c>
      <c r="N563" s="97">
        <v>38.75</v>
      </c>
      <c r="O563" s="97">
        <f t="shared" si="425"/>
        <v>38.75</v>
      </c>
      <c r="P563" s="95">
        <f t="shared" si="426"/>
        <v>2906.25</v>
      </c>
      <c r="Q563" s="98">
        <f t="shared" si="427"/>
        <v>2906.25</v>
      </c>
      <c r="R563" s="119"/>
    </row>
    <row r="564" spans="1:18" x14ac:dyDescent="0.3">
      <c r="A564" s="86" t="str">
        <f>IF(TRIM(H564)&lt;&gt;"",COUNTA(H$9:$H564)&amp;"","")</f>
        <v>398</v>
      </c>
      <c r="B564" s="87" t="s">
        <v>673</v>
      </c>
      <c r="C564" s="87" t="s">
        <v>673</v>
      </c>
      <c r="D564" s="88"/>
      <c r="E564" s="89" t="s">
        <v>683</v>
      </c>
      <c r="F564" s="90">
        <v>1</v>
      </c>
      <c r="H564" s="91" t="s">
        <v>239</v>
      </c>
      <c r="I564" s="92">
        <f t="shared" si="435"/>
        <v>0</v>
      </c>
      <c r="J564" s="93">
        <f t="shared" si="422"/>
        <v>1</v>
      </c>
      <c r="K564" s="94">
        <v>0</v>
      </c>
      <c r="L564" s="95">
        <f t="shared" si="423"/>
        <v>0</v>
      </c>
      <c r="M564" s="96">
        <f t="shared" si="424"/>
        <v>75</v>
      </c>
      <c r="N564" s="97">
        <v>2.03125</v>
      </c>
      <c r="O564" s="97">
        <f t="shared" si="425"/>
        <v>2.03125</v>
      </c>
      <c r="P564" s="95">
        <f t="shared" si="426"/>
        <v>152.34375</v>
      </c>
      <c r="Q564" s="98">
        <f t="shared" si="427"/>
        <v>152.34375</v>
      </c>
      <c r="R564" s="119"/>
    </row>
    <row r="565" spans="1:18" ht="27.6" x14ac:dyDescent="0.3">
      <c r="A565" s="86" t="str">
        <f>IF(TRIM(H565)&lt;&gt;"",COUNTA(H$9:$H565)&amp;"","")</f>
        <v>399</v>
      </c>
      <c r="B565" s="87" t="s">
        <v>673</v>
      </c>
      <c r="C565" s="87" t="s">
        <v>673</v>
      </c>
      <c r="D565" s="88"/>
      <c r="E565" s="89" t="s">
        <v>684</v>
      </c>
      <c r="F565" s="90">
        <v>1</v>
      </c>
      <c r="H565" s="91" t="s">
        <v>239</v>
      </c>
      <c r="I565" s="92">
        <f t="shared" si="435"/>
        <v>0</v>
      </c>
      <c r="J565" s="93">
        <f t="shared" si="422"/>
        <v>1</v>
      </c>
      <c r="K565" s="94">
        <v>0</v>
      </c>
      <c r="L565" s="95">
        <f t="shared" si="423"/>
        <v>0</v>
      </c>
      <c r="M565" s="96">
        <f t="shared" si="424"/>
        <v>75</v>
      </c>
      <c r="N565" s="97">
        <v>3.96875</v>
      </c>
      <c r="O565" s="97">
        <f t="shared" si="425"/>
        <v>3.96875</v>
      </c>
      <c r="P565" s="95">
        <f t="shared" si="426"/>
        <v>297.65625</v>
      </c>
      <c r="Q565" s="98">
        <f t="shared" si="427"/>
        <v>297.65625</v>
      </c>
      <c r="R565" s="119"/>
    </row>
    <row r="566" spans="1:18" ht="27.6" x14ac:dyDescent="0.3">
      <c r="A566" s="86" t="str">
        <f>IF(TRIM(H566)&lt;&gt;"",COUNTA(H$9:$H566)&amp;"","")</f>
        <v>400</v>
      </c>
      <c r="B566" s="87" t="s">
        <v>673</v>
      </c>
      <c r="C566" s="87" t="s">
        <v>673</v>
      </c>
      <c r="D566" s="88"/>
      <c r="E566" s="89" t="s">
        <v>685</v>
      </c>
      <c r="F566" s="90">
        <v>1</v>
      </c>
      <c r="H566" s="91" t="s">
        <v>239</v>
      </c>
      <c r="I566" s="92">
        <f t="shared" si="435"/>
        <v>0</v>
      </c>
      <c r="J566" s="93">
        <f t="shared" si="422"/>
        <v>1</v>
      </c>
      <c r="K566" s="94">
        <v>0</v>
      </c>
      <c r="L566" s="95">
        <f t="shared" si="423"/>
        <v>0</v>
      </c>
      <c r="M566" s="96">
        <f t="shared" si="424"/>
        <v>75</v>
      </c>
      <c r="N566" s="97">
        <v>1.46875</v>
      </c>
      <c r="O566" s="97">
        <f t="shared" si="425"/>
        <v>1.46875</v>
      </c>
      <c r="P566" s="95">
        <f t="shared" si="426"/>
        <v>110.15625</v>
      </c>
      <c r="Q566" s="98">
        <f t="shared" si="427"/>
        <v>110.15625</v>
      </c>
      <c r="R566" s="119"/>
    </row>
    <row r="567" spans="1:18" ht="27.6" x14ac:dyDescent="0.3">
      <c r="A567" s="86" t="str">
        <f>IF(TRIM(H567)&lt;&gt;"",COUNTA(H$9:$H567)&amp;"","")</f>
        <v>401</v>
      </c>
      <c r="B567" s="87" t="s">
        <v>673</v>
      </c>
      <c r="C567" s="87" t="s">
        <v>673</v>
      </c>
      <c r="D567" s="88"/>
      <c r="E567" s="89" t="s">
        <v>686</v>
      </c>
      <c r="F567" s="90">
        <v>1</v>
      </c>
      <c r="H567" s="91" t="s">
        <v>239</v>
      </c>
      <c r="I567" s="92">
        <f t="shared" si="435"/>
        <v>0</v>
      </c>
      <c r="J567" s="93">
        <f t="shared" si="422"/>
        <v>1</v>
      </c>
      <c r="K567" s="94">
        <v>0</v>
      </c>
      <c r="L567" s="95">
        <f t="shared" si="423"/>
        <v>0</v>
      </c>
      <c r="M567" s="96">
        <f t="shared" si="424"/>
        <v>75</v>
      </c>
      <c r="N567" s="97">
        <v>1.875</v>
      </c>
      <c r="O567" s="97">
        <f t="shared" si="425"/>
        <v>1.875</v>
      </c>
      <c r="P567" s="95">
        <f t="shared" si="426"/>
        <v>140.625</v>
      </c>
      <c r="Q567" s="98">
        <f t="shared" si="427"/>
        <v>140.625</v>
      </c>
      <c r="R567" s="119"/>
    </row>
    <row r="568" spans="1:18" x14ac:dyDescent="0.3">
      <c r="A568" s="86" t="str">
        <f>IF(TRIM(H568)&lt;&gt;"",COUNTA(H$9:$H568)&amp;"","")</f>
        <v>402</v>
      </c>
      <c r="B568" s="87" t="s">
        <v>673</v>
      </c>
      <c r="C568" s="87" t="s">
        <v>673</v>
      </c>
      <c r="D568" s="88"/>
      <c r="E568" s="89" t="s">
        <v>687</v>
      </c>
      <c r="F568" s="90">
        <v>4</v>
      </c>
      <c r="H568" s="91" t="s">
        <v>239</v>
      </c>
      <c r="I568" s="92">
        <f t="shared" si="435"/>
        <v>0</v>
      </c>
      <c r="J568" s="93">
        <f t="shared" si="422"/>
        <v>4</v>
      </c>
      <c r="K568" s="94">
        <v>0</v>
      </c>
      <c r="L568" s="95">
        <f t="shared" si="423"/>
        <v>0</v>
      </c>
      <c r="M568" s="96">
        <f t="shared" si="424"/>
        <v>75</v>
      </c>
      <c r="N568" s="97">
        <v>0.75</v>
      </c>
      <c r="O568" s="97">
        <f t="shared" si="425"/>
        <v>3</v>
      </c>
      <c r="P568" s="95">
        <f t="shared" si="426"/>
        <v>225</v>
      </c>
      <c r="Q568" s="98">
        <f t="shared" si="427"/>
        <v>225</v>
      </c>
      <c r="R568" s="119"/>
    </row>
    <row r="569" spans="1:18" ht="27.6" x14ac:dyDescent="0.3">
      <c r="A569" s="86" t="str">
        <f>IF(TRIM(H569)&lt;&gt;"",COUNTA(H$9:$H569)&amp;"","")</f>
        <v>403</v>
      </c>
      <c r="B569" s="87" t="s">
        <v>673</v>
      </c>
      <c r="C569" s="87" t="s">
        <v>673</v>
      </c>
      <c r="D569" s="88"/>
      <c r="E569" s="89" t="s">
        <v>688</v>
      </c>
      <c r="F569" s="90">
        <v>7</v>
      </c>
      <c r="H569" s="91" t="s">
        <v>239</v>
      </c>
      <c r="I569" s="92">
        <f t="shared" si="435"/>
        <v>0</v>
      </c>
      <c r="J569" s="93">
        <f t="shared" si="422"/>
        <v>7</v>
      </c>
      <c r="K569" s="94">
        <v>0</v>
      </c>
      <c r="L569" s="95">
        <f t="shared" si="423"/>
        <v>0</v>
      </c>
      <c r="M569" s="96">
        <f t="shared" si="424"/>
        <v>75</v>
      </c>
      <c r="N569" s="97">
        <v>1.15625</v>
      </c>
      <c r="O569" s="97">
        <f t="shared" si="425"/>
        <v>8.09375</v>
      </c>
      <c r="P569" s="95">
        <f t="shared" si="426"/>
        <v>607.03125</v>
      </c>
      <c r="Q569" s="98">
        <f t="shared" si="427"/>
        <v>607.03125</v>
      </c>
      <c r="R569" s="119"/>
    </row>
    <row r="570" spans="1:18" ht="27.6" x14ac:dyDescent="0.3">
      <c r="A570" s="86" t="str">
        <f>IF(TRIM(H570)&lt;&gt;"",COUNTA(H$9:$H570)&amp;"","")</f>
        <v>404</v>
      </c>
      <c r="B570" s="87" t="s">
        <v>673</v>
      </c>
      <c r="C570" s="87" t="s">
        <v>673</v>
      </c>
      <c r="D570" s="88"/>
      <c r="E570" s="89" t="s">
        <v>689</v>
      </c>
      <c r="F570" s="90">
        <v>2</v>
      </c>
      <c r="H570" s="91" t="s">
        <v>239</v>
      </c>
      <c r="I570" s="92">
        <f t="shared" si="435"/>
        <v>0</v>
      </c>
      <c r="J570" s="93">
        <f t="shared" si="422"/>
        <v>2</v>
      </c>
      <c r="K570" s="94">
        <v>0</v>
      </c>
      <c r="L570" s="95">
        <f t="shared" si="423"/>
        <v>0</v>
      </c>
      <c r="M570" s="96">
        <f t="shared" si="424"/>
        <v>75</v>
      </c>
      <c r="N570" s="97">
        <v>0.78125</v>
      </c>
      <c r="O570" s="97">
        <f t="shared" si="425"/>
        <v>1.5625</v>
      </c>
      <c r="P570" s="95">
        <f t="shared" si="426"/>
        <v>117.1875</v>
      </c>
      <c r="Q570" s="98">
        <f t="shared" si="427"/>
        <v>117.1875</v>
      </c>
      <c r="R570" s="119"/>
    </row>
    <row r="571" spans="1:18" ht="27.6" x14ac:dyDescent="0.3">
      <c r="A571" s="86" t="str">
        <f>IF(TRIM(H571)&lt;&gt;"",COUNTA(H$9:$H571)&amp;"","")</f>
        <v>405</v>
      </c>
      <c r="B571" s="87" t="s">
        <v>673</v>
      </c>
      <c r="C571" s="87" t="s">
        <v>673</v>
      </c>
      <c r="D571" s="88"/>
      <c r="E571" s="89" t="s">
        <v>690</v>
      </c>
      <c r="F571" s="90">
        <v>1</v>
      </c>
      <c r="H571" s="91" t="s">
        <v>239</v>
      </c>
      <c r="I571" s="92">
        <f t="shared" si="435"/>
        <v>0</v>
      </c>
      <c r="J571" s="93">
        <f t="shared" si="422"/>
        <v>1</v>
      </c>
      <c r="K571" s="94">
        <v>0</v>
      </c>
      <c r="L571" s="95">
        <f t="shared" si="423"/>
        <v>0</v>
      </c>
      <c r="M571" s="96">
        <f t="shared" si="424"/>
        <v>75</v>
      </c>
      <c r="N571" s="97">
        <v>0.55625000000000002</v>
      </c>
      <c r="O571" s="97">
        <f t="shared" si="425"/>
        <v>0.55625000000000002</v>
      </c>
      <c r="P571" s="95">
        <f t="shared" si="426"/>
        <v>41.71875</v>
      </c>
      <c r="Q571" s="98">
        <f t="shared" si="427"/>
        <v>41.71875</v>
      </c>
      <c r="R571" s="119"/>
    </row>
    <row r="572" spans="1:18" x14ac:dyDescent="0.3">
      <c r="A572" s="86" t="str">
        <f>IF(TRIM(H572)&lt;&gt;"",COUNTA(H$9:$H572)&amp;"","")</f>
        <v>406</v>
      </c>
      <c r="B572" s="87" t="s">
        <v>673</v>
      </c>
      <c r="C572" s="87" t="s">
        <v>673</v>
      </c>
      <c r="D572" s="88"/>
      <c r="E572" s="89" t="s">
        <v>691</v>
      </c>
      <c r="F572" s="90">
        <v>2</v>
      </c>
      <c r="H572" s="91" t="s">
        <v>239</v>
      </c>
      <c r="I572" s="92">
        <f t="shared" si="435"/>
        <v>0</v>
      </c>
      <c r="J572" s="93">
        <f t="shared" si="422"/>
        <v>2</v>
      </c>
      <c r="K572" s="94">
        <v>0</v>
      </c>
      <c r="L572" s="95">
        <f t="shared" si="423"/>
        <v>0</v>
      </c>
      <c r="M572" s="96">
        <f t="shared" si="424"/>
        <v>75</v>
      </c>
      <c r="N572" s="97">
        <v>0.4</v>
      </c>
      <c r="O572" s="97">
        <f t="shared" si="425"/>
        <v>0.8</v>
      </c>
      <c r="P572" s="95">
        <f t="shared" si="426"/>
        <v>60</v>
      </c>
      <c r="Q572" s="98">
        <f t="shared" si="427"/>
        <v>60</v>
      </c>
      <c r="R572" s="119"/>
    </row>
    <row r="573" spans="1:18" ht="27.6" x14ac:dyDescent="0.3">
      <c r="A573" s="86" t="str">
        <f>IF(TRIM(H573)&lt;&gt;"",COUNTA(H$9:$H573)&amp;"","")</f>
        <v>407</v>
      </c>
      <c r="B573" s="87" t="s">
        <v>673</v>
      </c>
      <c r="C573" s="87" t="s">
        <v>673</v>
      </c>
      <c r="D573" s="88"/>
      <c r="E573" s="89" t="s">
        <v>692</v>
      </c>
      <c r="F573" s="90">
        <v>2</v>
      </c>
      <c r="H573" s="91" t="s">
        <v>239</v>
      </c>
      <c r="I573" s="92">
        <f t="shared" si="435"/>
        <v>0</v>
      </c>
      <c r="J573" s="93">
        <f t="shared" si="422"/>
        <v>2</v>
      </c>
      <c r="K573" s="94">
        <v>0</v>
      </c>
      <c r="L573" s="95">
        <f t="shared" si="423"/>
        <v>0</v>
      </c>
      <c r="M573" s="96">
        <f t="shared" si="424"/>
        <v>75</v>
      </c>
      <c r="N573" s="97">
        <v>0.4</v>
      </c>
      <c r="O573" s="97">
        <f t="shared" si="425"/>
        <v>0.8</v>
      </c>
      <c r="P573" s="95">
        <f t="shared" si="426"/>
        <v>60</v>
      </c>
      <c r="Q573" s="98">
        <f t="shared" si="427"/>
        <v>60</v>
      </c>
      <c r="R573" s="119"/>
    </row>
    <row r="574" spans="1:18" ht="55.2" x14ac:dyDescent="0.3">
      <c r="A574" s="86" t="str">
        <f>IF(TRIM(H574)&lt;&gt;"",COUNTA(H$9:$H574)&amp;"","")</f>
        <v>408</v>
      </c>
      <c r="B574" s="87" t="s">
        <v>673</v>
      </c>
      <c r="C574" s="87" t="s">
        <v>673</v>
      </c>
      <c r="D574" s="88"/>
      <c r="E574" s="89" t="s">
        <v>693</v>
      </c>
      <c r="F574" s="90">
        <v>1</v>
      </c>
      <c r="H574" s="91" t="s">
        <v>239</v>
      </c>
      <c r="I574" s="92">
        <f t="shared" si="435"/>
        <v>0</v>
      </c>
      <c r="J574" s="93">
        <f t="shared" si="422"/>
        <v>1</v>
      </c>
      <c r="K574" s="94">
        <v>0</v>
      </c>
      <c r="L574" s="95">
        <f t="shared" si="423"/>
        <v>0</v>
      </c>
      <c r="M574" s="96">
        <f t="shared" si="424"/>
        <v>75</v>
      </c>
      <c r="N574" s="97">
        <v>12.40625</v>
      </c>
      <c r="O574" s="97">
        <f t="shared" si="425"/>
        <v>12.40625</v>
      </c>
      <c r="P574" s="95">
        <f t="shared" si="426"/>
        <v>930.46875</v>
      </c>
      <c r="Q574" s="98">
        <f t="shared" si="427"/>
        <v>930.46875</v>
      </c>
      <c r="R574" s="119"/>
    </row>
    <row r="575" spans="1:18" x14ac:dyDescent="0.3">
      <c r="A575" s="86" t="str">
        <f>IF(TRIM(H575)&lt;&gt;"",COUNTA(H$9:$H575)&amp;"","")</f>
        <v>409</v>
      </c>
      <c r="B575" s="87" t="s">
        <v>673</v>
      </c>
      <c r="C575" s="87" t="s">
        <v>673</v>
      </c>
      <c r="D575" s="88"/>
      <c r="E575" s="89" t="s">
        <v>694</v>
      </c>
      <c r="F575" s="90">
        <v>1</v>
      </c>
      <c r="H575" s="91" t="s">
        <v>239</v>
      </c>
      <c r="I575" s="92">
        <f t="shared" si="435"/>
        <v>0</v>
      </c>
      <c r="J575" s="93">
        <f t="shared" si="422"/>
        <v>1</v>
      </c>
      <c r="K575" s="94">
        <v>0</v>
      </c>
      <c r="L575" s="95">
        <f t="shared" si="423"/>
        <v>0</v>
      </c>
      <c r="M575" s="96">
        <f t="shared" si="424"/>
        <v>75</v>
      </c>
      <c r="N575" s="97">
        <v>0.53125</v>
      </c>
      <c r="O575" s="97">
        <f t="shared" si="425"/>
        <v>0.53125</v>
      </c>
      <c r="P575" s="95">
        <f t="shared" si="426"/>
        <v>39.84375</v>
      </c>
      <c r="Q575" s="98">
        <f t="shared" si="427"/>
        <v>39.84375</v>
      </c>
      <c r="R575" s="119"/>
    </row>
    <row r="576" spans="1:18" ht="27.6" x14ac:dyDescent="0.3">
      <c r="A576" s="86" t="str">
        <f>IF(TRIM(H576)&lt;&gt;"",COUNTA(H$9:$H576)&amp;"","")</f>
        <v>410</v>
      </c>
      <c r="B576" s="87" t="s">
        <v>673</v>
      </c>
      <c r="C576" s="87" t="s">
        <v>673</v>
      </c>
      <c r="D576" s="88"/>
      <c r="E576" s="89" t="s">
        <v>695</v>
      </c>
      <c r="F576" s="90">
        <v>1</v>
      </c>
      <c r="H576" s="91" t="s">
        <v>239</v>
      </c>
      <c r="I576" s="92">
        <f t="shared" si="435"/>
        <v>0</v>
      </c>
      <c r="J576" s="93">
        <f t="shared" si="422"/>
        <v>1</v>
      </c>
      <c r="K576" s="94">
        <v>0</v>
      </c>
      <c r="L576" s="95">
        <f t="shared" si="423"/>
        <v>0</v>
      </c>
      <c r="M576" s="96">
        <f t="shared" si="424"/>
        <v>75</v>
      </c>
      <c r="N576" s="97">
        <v>1.1812499999999999</v>
      </c>
      <c r="O576" s="97">
        <f t="shared" si="425"/>
        <v>1.1812499999999999</v>
      </c>
      <c r="P576" s="95">
        <f t="shared" si="426"/>
        <v>88.59375</v>
      </c>
      <c r="Q576" s="98">
        <f t="shared" si="427"/>
        <v>88.59375</v>
      </c>
      <c r="R576" s="119"/>
    </row>
    <row r="577" spans="1:18" x14ac:dyDescent="0.3">
      <c r="A577" s="86" t="str">
        <f>IF(TRIM(H577)&lt;&gt;"",COUNTA(H$9:$H577)&amp;"","")</f>
        <v/>
      </c>
      <c r="B577" s="87"/>
      <c r="C577" s="87"/>
      <c r="D577" s="88"/>
      <c r="E577" s="145" t="s">
        <v>549</v>
      </c>
      <c r="F577" s="90"/>
      <c r="H577" s="91"/>
      <c r="I577" s="92"/>
      <c r="J577" s="93"/>
      <c r="K577" s="94" t="s">
        <v>549</v>
      </c>
      <c r="L577" s="95"/>
      <c r="M577" s="96"/>
      <c r="N577" s="97" t="s">
        <v>549</v>
      </c>
      <c r="O577" s="97"/>
      <c r="P577" s="95"/>
      <c r="Q577" s="98"/>
      <c r="R577" s="119"/>
    </row>
    <row r="578" spans="1:18" x14ac:dyDescent="0.3">
      <c r="A578" s="86" t="str">
        <f>IF(TRIM(H578)&lt;&gt;"",COUNTA(H$9:$H578)&amp;"","")</f>
        <v/>
      </c>
      <c r="B578" s="87"/>
      <c r="C578" s="87"/>
      <c r="D578" s="88"/>
      <c r="E578" s="159" t="s">
        <v>696</v>
      </c>
      <c r="F578" s="90"/>
      <c r="H578" s="91"/>
      <c r="I578" s="92"/>
      <c r="J578" s="93"/>
      <c r="K578" s="94" t="s">
        <v>549</v>
      </c>
      <c r="L578" s="95"/>
      <c r="M578" s="96"/>
      <c r="N578" s="97" t="s">
        <v>549</v>
      </c>
      <c r="O578" s="97"/>
      <c r="P578" s="95"/>
      <c r="Q578" s="98"/>
      <c r="R578" s="119"/>
    </row>
    <row r="579" spans="1:18" x14ac:dyDescent="0.3">
      <c r="A579" s="86" t="str">
        <f>IF(TRIM(H579)&lt;&gt;"",COUNTA(H$9:$H579)&amp;"","")</f>
        <v/>
      </c>
      <c r="B579" s="87"/>
      <c r="C579" s="87"/>
      <c r="D579" s="88"/>
      <c r="E579" s="145" t="s">
        <v>549</v>
      </c>
      <c r="F579" s="90"/>
      <c r="H579" s="91"/>
      <c r="I579" s="92"/>
      <c r="J579" s="93"/>
      <c r="K579" s="94" t="s">
        <v>549</v>
      </c>
      <c r="L579" s="95"/>
      <c r="M579" s="96"/>
      <c r="N579" s="97" t="s">
        <v>549</v>
      </c>
      <c r="O579" s="97"/>
      <c r="P579" s="95"/>
      <c r="Q579" s="98"/>
      <c r="R579" s="119"/>
    </row>
    <row r="580" spans="1:18" ht="15.6" x14ac:dyDescent="0.3">
      <c r="A580" s="86" t="str">
        <f>IF(TRIM(H580)&lt;&gt;"",COUNTA(H$9:$H580)&amp;"","")</f>
        <v/>
      </c>
      <c r="B580" s="87"/>
      <c r="C580" s="87"/>
      <c r="D580" s="88"/>
      <c r="E580" s="164" t="s">
        <v>697</v>
      </c>
      <c r="F580" s="90"/>
      <c r="H580" s="91"/>
      <c r="I580" s="92" t="str">
        <f t="shared" si="435"/>
        <v/>
      </c>
      <c r="J580" s="93" t="str">
        <f t="shared" si="422"/>
        <v/>
      </c>
      <c r="K580" s="94" t="s">
        <v>549</v>
      </c>
      <c r="L580" s="95" t="str">
        <f t="shared" si="423"/>
        <v/>
      </c>
      <c r="M580" s="96" t="str">
        <f t="shared" si="424"/>
        <v/>
      </c>
      <c r="N580" s="97" t="s">
        <v>549</v>
      </c>
      <c r="O580" s="97" t="str">
        <f t="shared" si="425"/>
        <v/>
      </c>
      <c r="P580" s="95" t="str">
        <f t="shared" si="426"/>
        <v/>
      </c>
      <c r="Q580" s="98" t="str">
        <f t="shared" si="427"/>
        <v/>
      </c>
      <c r="R580" s="119"/>
    </row>
    <row r="581" spans="1:18" ht="27.6" x14ac:dyDescent="0.3">
      <c r="A581" s="86" t="str">
        <f>IF(TRIM(H581)&lt;&gt;"",COUNTA(H$9:$H581)&amp;"","")</f>
        <v>411</v>
      </c>
      <c r="B581" s="87" t="s">
        <v>673</v>
      </c>
      <c r="C581" s="87" t="s">
        <v>673</v>
      </c>
      <c r="D581" s="88"/>
      <c r="E581" s="89" t="s">
        <v>698</v>
      </c>
      <c r="F581" s="90">
        <v>1</v>
      </c>
      <c r="H581" s="91" t="s">
        <v>239</v>
      </c>
      <c r="I581" s="92">
        <f t="shared" si="435"/>
        <v>0</v>
      </c>
      <c r="J581" s="93">
        <f t="shared" si="422"/>
        <v>1</v>
      </c>
      <c r="K581" s="94">
        <v>24</v>
      </c>
      <c r="L581" s="95">
        <f t="shared" si="423"/>
        <v>24</v>
      </c>
      <c r="M581" s="96">
        <f t="shared" si="424"/>
        <v>75</v>
      </c>
      <c r="N581" s="97">
        <v>0.15</v>
      </c>
      <c r="O581" s="97">
        <f t="shared" si="425"/>
        <v>0.15</v>
      </c>
      <c r="P581" s="95">
        <f t="shared" si="426"/>
        <v>11.25</v>
      </c>
      <c r="Q581" s="98">
        <f t="shared" si="427"/>
        <v>35.25</v>
      </c>
      <c r="R581" s="119"/>
    </row>
    <row r="582" spans="1:18" ht="27.6" x14ac:dyDescent="0.3">
      <c r="A582" s="86" t="str">
        <f>IF(TRIM(H582)&lt;&gt;"",COUNTA(H$9:$H582)&amp;"","")</f>
        <v>412</v>
      </c>
      <c r="B582" s="87" t="s">
        <v>673</v>
      </c>
      <c r="C582" s="87" t="s">
        <v>673</v>
      </c>
      <c r="D582" s="88"/>
      <c r="E582" s="89" t="s">
        <v>699</v>
      </c>
      <c r="F582" s="90">
        <v>2</v>
      </c>
      <c r="H582" s="91" t="s">
        <v>239</v>
      </c>
      <c r="I582" s="92">
        <f t="shared" si="435"/>
        <v>0</v>
      </c>
      <c r="J582" s="93">
        <f t="shared" si="422"/>
        <v>2</v>
      </c>
      <c r="K582" s="94">
        <v>30</v>
      </c>
      <c r="L582" s="95">
        <f t="shared" si="423"/>
        <v>60</v>
      </c>
      <c r="M582" s="96">
        <f t="shared" si="424"/>
        <v>75</v>
      </c>
      <c r="N582" s="97">
        <v>0.1875</v>
      </c>
      <c r="O582" s="97">
        <f t="shared" si="425"/>
        <v>0.375</v>
      </c>
      <c r="P582" s="95">
        <f t="shared" si="426"/>
        <v>28.125</v>
      </c>
      <c r="Q582" s="98">
        <f t="shared" si="427"/>
        <v>88.125</v>
      </c>
      <c r="R582" s="119"/>
    </row>
    <row r="583" spans="1:18" ht="27.6" x14ac:dyDescent="0.3">
      <c r="A583" s="86" t="str">
        <f>IF(TRIM(H583)&lt;&gt;"",COUNTA(H$9:$H583)&amp;"","")</f>
        <v>413</v>
      </c>
      <c r="B583" s="87" t="s">
        <v>673</v>
      </c>
      <c r="C583" s="87" t="s">
        <v>673</v>
      </c>
      <c r="D583" s="88"/>
      <c r="E583" s="89" t="s">
        <v>700</v>
      </c>
      <c r="F583" s="90">
        <v>2</v>
      </c>
      <c r="H583" s="91" t="s">
        <v>239</v>
      </c>
      <c r="I583" s="92">
        <f t="shared" si="435"/>
        <v>0</v>
      </c>
      <c r="J583" s="93">
        <f t="shared" si="422"/>
        <v>2</v>
      </c>
      <c r="K583" s="94">
        <v>35</v>
      </c>
      <c r="L583" s="95">
        <f t="shared" si="423"/>
        <v>70</v>
      </c>
      <c r="M583" s="96">
        <f t="shared" si="424"/>
        <v>75</v>
      </c>
      <c r="N583" s="97">
        <v>0.21875</v>
      </c>
      <c r="O583" s="97">
        <f t="shared" si="425"/>
        <v>0.4375</v>
      </c>
      <c r="P583" s="95">
        <f t="shared" si="426"/>
        <v>32.8125</v>
      </c>
      <c r="Q583" s="98">
        <f t="shared" si="427"/>
        <v>102.8125</v>
      </c>
      <c r="R583" s="119"/>
    </row>
    <row r="584" spans="1:18" ht="27.6" x14ac:dyDescent="0.3">
      <c r="A584" s="86" t="str">
        <f>IF(TRIM(H584)&lt;&gt;"",COUNTA(H$9:$H584)&amp;"","")</f>
        <v>414</v>
      </c>
      <c r="B584" s="87" t="s">
        <v>673</v>
      </c>
      <c r="C584" s="87" t="s">
        <v>673</v>
      </c>
      <c r="D584" s="88"/>
      <c r="E584" s="89" t="s">
        <v>701</v>
      </c>
      <c r="F584" s="90">
        <v>4</v>
      </c>
      <c r="H584" s="91" t="s">
        <v>239</v>
      </c>
      <c r="I584" s="92">
        <f t="shared" si="435"/>
        <v>0</v>
      </c>
      <c r="J584" s="93">
        <f t="shared" si="422"/>
        <v>4</v>
      </c>
      <c r="K584" s="94">
        <v>195</v>
      </c>
      <c r="L584" s="95">
        <f t="shared" si="423"/>
        <v>780</v>
      </c>
      <c r="M584" s="96">
        <f t="shared" si="424"/>
        <v>75</v>
      </c>
      <c r="N584" s="97">
        <v>1.21875</v>
      </c>
      <c r="O584" s="97">
        <f t="shared" si="425"/>
        <v>4.875</v>
      </c>
      <c r="P584" s="95">
        <f t="shared" si="426"/>
        <v>365.625</v>
      </c>
      <c r="Q584" s="98">
        <f t="shared" si="427"/>
        <v>1145.625</v>
      </c>
      <c r="R584" s="119"/>
    </row>
    <row r="585" spans="1:18" x14ac:dyDescent="0.3">
      <c r="A585" s="86" t="str">
        <f>IF(TRIM(H585)&lt;&gt;"",COUNTA(H$9:$H585)&amp;"","")</f>
        <v/>
      </c>
      <c r="B585" s="87"/>
      <c r="C585" s="87"/>
      <c r="D585" s="88"/>
      <c r="E585" s="89" t="s">
        <v>549</v>
      </c>
      <c r="F585" s="90"/>
      <c r="H585" s="91"/>
      <c r="I585" s="92" t="str">
        <f t="shared" si="435"/>
        <v/>
      </c>
      <c r="J585" s="93" t="str">
        <f t="shared" si="422"/>
        <v/>
      </c>
      <c r="K585" s="94" t="s">
        <v>549</v>
      </c>
      <c r="L585" s="95" t="str">
        <f t="shared" si="423"/>
        <v/>
      </c>
      <c r="M585" s="96" t="str">
        <f t="shared" si="424"/>
        <v/>
      </c>
      <c r="N585" s="97" t="s">
        <v>549</v>
      </c>
      <c r="O585" s="97" t="str">
        <f t="shared" si="425"/>
        <v/>
      </c>
      <c r="P585" s="95" t="str">
        <f t="shared" si="426"/>
        <v/>
      </c>
      <c r="Q585" s="98" t="str">
        <f t="shared" si="427"/>
        <v/>
      </c>
      <c r="R585" s="119"/>
    </row>
    <row r="586" spans="1:18" ht="15.6" x14ac:dyDescent="0.3">
      <c r="A586" s="86" t="str">
        <f>IF(TRIM(H586)&lt;&gt;"",COUNTA(H$9:$H586)&amp;"","")</f>
        <v/>
      </c>
      <c r="B586" s="87"/>
      <c r="C586" s="87"/>
      <c r="D586" s="88"/>
      <c r="E586" s="164" t="s">
        <v>702</v>
      </c>
      <c r="F586" s="90"/>
      <c r="H586" s="91"/>
      <c r="I586" s="92" t="str">
        <f t="shared" si="435"/>
        <v/>
      </c>
      <c r="J586" s="93" t="str">
        <f t="shared" si="422"/>
        <v/>
      </c>
      <c r="K586" s="94" t="s">
        <v>549</v>
      </c>
      <c r="L586" s="95" t="str">
        <f t="shared" si="423"/>
        <v/>
      </c>
      <c r="M586" s="96" t="str">
        <f t="shared" si="424"/>
        <v/>
      </c>
      <c r="N586" s="97" t="s">
        <v>549</v>
      </c>
      <c r="O586" s="97" t="str">
        <f t="shared" si="425"/>
        <v/>
      </c>
      <c r="P586" s="95" t="str">
        <f t="shared" si="426"/>
        <v/>
      </c>
      <c r="Q586" s="98" t="str">
        <f t="shared" si="427"/>
        <v/>
      </c>
      <c r="R586" s="119"/>
    </row>
    <row r="587" spans="1:18" x14ac:dyDescent="0.3">
      <c r="A587" s="86" t="str">
        <f>IF(TRIM(H587)&lt;&gt;"",COUNTA(H$9:$H587)&amp;"","")</f>
        <v>415</v>
      </c>
      <c r="B587" s="87" t="s">
        <v>536</v>
      </c>
      <c r="C587" s="87" t="s">
        <v>536</v>
      </c>
      <c r="D587" s="88"/>
      <c r="E587" s="89" t="s">
        <v>703</v>
      </c>
      <c r="F587" s="90">
        <v>5</v>
      </c>
      <c r="H587" s="91" t="s">
        <v>239</v>
      </c>
      <c r="I587" s="92">
        <f t="shared" si="435"/>
        <v>0</v>
      </c>
      <c r="J587" s="93">
        <f t="shared" si="422"/>
        <v>5</v>
      </c>
      <c r="K587" s="94">
        <v>238</v>
      </c>
      <c r="L587" s="95">
        <f t="shared" si="423"/>
        <v>1190</v>
      </c>
      <c r="M587" s="96">
        <f t="shared" si="424"/>
        <v>75</v>
      </c>
      <c r="N587" s="97">
        <v>1.4875</v>
      </c>
      <c r="O587" s="97">
        <f t="shared" si="425"/>
        <v>7.4375</v>
      </c>
      <c r="P587" s="95">
        <f t="shared" si="426"/>
        <v>557.8125</v>
      </c>
      <c r="Q587" s="98">
        <f t="shared" si="427"/>
        <v>1747.8125</v>
      </c>
      <c r="R587" s="119"/>
    </row>
    <row r="588" spans="1:18" ht="27.6" x14ac:dyDescent="0.3">
      <c r="A588" s="86" t="str">
        <f>IF(TRIM(H588)&lt;&gt;"",COUNTA(H$9:$H588)&amp;"","")</f>
        <v>416</v>
      </c>
      <c r="B588" s="87" t="s">
        <v>536</v>
      </c>
      <c r="C588" s="87" t="s">
        <v>536</v>
      </c>
      <c r="D588" s="88"/>
      <c r="E588" s="89" t="s">
        <v>704</v>
      </c>
      <c r="F588" s="90">
        <v>2</v>
      </c>
      <c r="H588" s="91" t="s">
        <v>239</v>
      </c>
      <c r="I588" s="92">
        <f t="shared" si="435"/>
        <v>0</v>
      </c>
      <c r="J588" s="93">
        <f t="shared" si="422"/>
        <v>2</v>
      </c>
      <c r="K588" s="94">
        <v>630</v>
      </c>
      <c r="L588" s="95">
        <f t="shared" si="423"/>
        <v>1260</v>
      </c>
      <c r="M588" s="96">
        <f t="shared" si="424"/>
        <v>75</v>
      </c>
      <c r="N588" s="97">
        <v>3.9375</v>
      </c>
      <c r="O588" s="97">
        <f t="shared" si="425"/>
        <v>7.875</v>
      </c>
      <c r="P588" s="95">
        <f t="shared" si="426"/>
        <v>590.625</v>
      </c>
      <c r="Q588" s="98">
        <f t="shared" si="427"/>
        <v>1850.625</v>
      </c>
      <c r="R588" s="119"/>
    </row>
    <row r="589" spans="1:18" x14ac:dyDescent="0.3">
      <c r="A589" s="86" t="str">
        <f>IF(TRIM(H589)&lt;&gt;"",COUNTA(H$9:$H589)&amp;"","")</f>
        <v>417</v>
      </c>
      <c r="B589" s="87" t="s">
        <v>536</v>
      </c>
      <c r="C589" s="87" t="s">
        <v>536</v>
      </c>
      <c r="D589" s="88"/>
      <c r="E589" s="89" t="s">
        <v>705</v>
      </c>
      <c r="F589" s="90">
        <v>3</v>
      </c>
      <c r="H589" s="91" t="s">
        <v>239</v>
      </c>
      <c r="I589" s="92">
        <f t="shared" si="435"/>
        <v>0</v>
      </c>
      <c r="J589" s="93">
        <f t="shared" si="422"/>
        <v>3</v>
      </c>
      <c r="K589" s="94">
        <v>185</v>
      </c>
      <c r="L589" s="95">
        <f t="shared" si="423"/>
        <v>555</v>
      </c>
      <c r="M589" s="96">
        <f t="shared" si="424"/>
        <v>75</v>
      </c>
      <c r="N589" s="97">
        <v>1.15625</v>
      </c>
      <c r="O589" s="97">
        <f t="shared" si="425"/>
        <v>3.46875</v>
      </c>
      <c r="P589" s="95">
        <f t="shared" si="426"/>
        <v>260.15625</v>
      </c>
      <c r="Q589" s="98">
        <f t="shared" si="427"/>
        <v>815.15625</v>
      </c>
      <c r="R589" s="119"/>
    </row>
    <row r="590" spans="1:18" x14ac:dyDescent="0.3">
      <c r="A590" s="86" t="str">
        <f>IF(TRIM(H590)&lt;&gt;"",COUNTA(H$9:$H590)&amp;"","")</f>
        <v>418</v>
      </c>
      <c r="B590" s="87" t="s">
        <v>536</v>
      </c>
      <c r="C590" s="87" t="s">
        <v>536</v>
      </c>
      <c r="D590" s="88"/>
      <c r="E590" s="89" t="s">
        <v>706</v>
      </c>
      <c r="F590" s="90">
        <v>1</v>
      </c>
      <c r="H590" s="91" t="s">
        <v>239</v>
      </c>
      <c r="I590" s="92">
        <f t="shared" si="435"/>
        <v>0</v>
      </c>
      <c r="J590" s="93">
        <f t="shared" si="422"/>
        <v>1</v>
      </c>
      <c r="K590" s="94">
        <v>60</v>
      </c>
      <c r="L590" s="95">
        <f t="shared" si="423"/>
        <v>60</v>
      </c>
      <c r="M590" s="96">
        <f t="shared" si="424"/>
        <v>75</v>
      </c>
      <c r="N590" s="97">
        <v>0.375</v>
      </c>
      <c r="O590" s="97">
        <f t="shared" si="425"/>
        <v>0.375</v>
      </c>
      <c r="P590" s="95">
        <f t="shared" si="426"/>
        <v>28.125</v>
      </c>
      <c r="Q590" s="98">
        <f t="shared" si="427"/>
        <v>88.125</v>
      </c>
      <c r="R590" s="119"/>
    </row>
    <row r="591" spans="1:18" x14ac:dyDescent="0.3">
      <c r="A591" s="86" t="str">
        <f>IF(TRIM(H591)&lt;&gt;"",COUNTA(H$9:$H591)&amp;"","")</f>
        <v>419</v>
      </c>
      <c r="B591" s="87" t="s">
        <v>536</v>
      </c>
      <c r="C591" s="87" t="s">
        <v>536</v>
      </c>
      <c r="D591" s="88"/>
      <c r="E591" s="89" t="s">
        <v>707</v>
      </c>
      <c r="F591" s="90">
        <v>1</v>
      </c>
      <c r="H591" s="91" t="s">
        <v>239</v>
      </c>
      <c r="I591" s="92">
        <f t="shared" si="435"/>
        <v>0</v>
      </c>
      <c r="J591" s="93">
        <f t="shared" si="422"/>
        <v>1</v>
      </c>
      <c r="K591" s="94">
        <v>196</v>
      </c>
      <c r="L591" s="95">
        <f t="shared" si="423"/>
        <v>196</v>
      </c>
      <c r="M591" s="96">
        <f t="shared" si="424"/>
        <v>75</v>
      </c>
      <c r="N591" s="97">
        <v>1.2250000000000001</v>
      </c>
      <c r="O591" s="97">
        <f t="shared" si="425"/>
        <v>1.2250000000000001</v>
      </c>
      <c r="P591" s="95">
        <f t="shared" si="426"/>
        <v>91.875</v>
      </c>
      <c r="Q591" s="98">
        <f t="shared" si="427"/>
        <v>287.875</v>
      </c>
      <c r="R591" s="119"/>
    </row>
    <row r="592" spans="1:18" x14ac:dyDescent="0.3">
      <c r="A592" s="86" t="str">
        <f>IF(TRIM(H592)&lt;&gt;"",COUNTA(H$9:$H592)&amp;"","")</f>
        <v/>
      </c>
      <c r="B592" s="87"/>
      <c r="C592" s="87"/>
      <c r="D592" s="88"/>
      <c r="E592" s="89" t="s">
        <v>549</v>
      </c>
      <c r="F592" s="90"/>
      <c r="H592" s="91"/>
      <c r="I592" s="92" t="str">
        <f t="shared" si="435"/>
        <v/>
      </c>
      <c r="J592" s="93" t="str">
        <f t="shared" si="422"/>
        <v/>
      </c>
      <c r="K592" s="94" t="s">
        <v>549</v>
      </c>
      <c r="L592" s="95" t="str">
        <f t="shared" si="423"/>
        <v/>
      </c>
      <c r="M592" s="96" t="str">
        <f t="shared" si="424"/>
        <v/>
      </c>
      <c r="N592" s="97" t="s">
        <v>549</v>
      </c>
      <c r="O592" s="97" t="str">
        <f t="shared" si="425"/>
        <v/>
      </c>
      <c r="P592" s="95" t="str">
        <f t="shared" si="426"/>
        <v/>
      </c>
      <c r="Q592" s="98" t="str">
        <f t="shared" si="427"/>
        <v/>
      </c>
      <c r="R592" s="119"/>
    </row>
    <row r="593" spans="1:18" ht="15.6" x14ac:dyDescent="0.3">
      <c r="A593" s="86" t="str">
        <f>IF(TRIM(H593)&lt;&gt;"",COUNTA(H$9:$H593)&amp;"","")</f>
        <v/>
      </c>
      <c r="B593" s="87"/>
      <c r="C593" s="87"/>
      <c r="D593" s="88"/>
      <c r="E593" s="164" t="s">
        <v>708</v>
      </c>
      <c r="F593" s="90"/>
      <c r="H593" s="91"/>
      <c r="I593" s="92" t="str">
        <f t="shared" si="435"/>
        <v/>
      </c>
      <c r="J593" s="93" t="str">
        <f t="shared" si="422"/>
        <v/>
      </c>
      <c r="K593" s="94" t="s">
        <v>549</v>
      </c>
      <c r="L593" s="95" t="str">
        <f t="shared" si="423"/>
        <v/>
      </c>
      <c r="M593" s="96" t="str">
        <f t="shared" si="424"/>
        <v/>
      </c>
      <c r="N593" s="97" t="s">
        <v>549</v>
      </c>
      <c r="O593" s="97" t="str">
        <f t="shared" si="425"/>
        <v/>
      </c>
      <c r="P593" s="95" t="str">
        <f t="shared" si="426"/>
        <v/>
      </c>
      <c r="Q593" s="98" t="str">
        <f t="shared" si="427"/>
        <v/>
      </c>
      <c r="R593" s="119"/>
    </row>
    <row r="594" spans="1:18" ht="27.6" x14ac:dyDescent="0.3">
      <c r="A594" s="86" t="str">
        <f>IF(TRIM(H594)&lt;&gt;"",COUNTA(H$9:$H594)&amp;"","")</f>
        <v>420</v>
      </c>
      <c r="B594" s="87" t="s">
        <v>536</v>
      </c>
      <c r="C594" s="87" t="s">
        <v>536</v>
      </c>
      <c r="D594" s="88"/>
      <c r="E594" s="89" t="s">
        <v>709</v>
      </c>
      <c r="F594" s="90">
        <v>140</v>
      </c>
      <c r="H594" s="91" t="s">
        <v>239</v>
      </c>
      <c r="I594" s="92">
        <f t="shared" si="435"/>
        <v>0</v>
      </c>
      <c r="J594" s="93">
        <f t="shared" si="422"/>
        <v>140</v>
      </c>
      <c r="K594" s="94">
        <v>28</v>
      </c>
      <c r="L594" s="95">
        <f t="shared" si="423"/>
        <v>3920</v>
      </c>
      <c r="M594" s="96">
        <f t="shared" si="424"/>
        <v>75</v>
      </c>
      <c r="N594" s="97">
        <v>0.17499999999999999</v>
      </c>
      <c r="O594" s="97">
        <f t="shared" si="425"/>
        <v>24.5</v>
      </c>
      <c r="P594" s="95">
        <f t="shared" si="426"/>
        <v>1837.5</v>
      </c>
      <c r="Q594" s="98">
        <f t="shared" si="427"/>
        <v>5757.5</v>
      </c>
      <c r="R594" s="119"/>
    </row>
    <row r="595" spans="1:18" x14ac:dyDescent="0.3">
      <c r="A595" s="86" t="str">
        <f>IF(TRIM(H595)&lt;&gt;"",COUNTA(H$9:$H595)&amp;"","")</f>
        <v/>
      </c>
      <c r="B595" s="87"/>
      <c r="C595" s="87"/>
      <c r="D595" s="88"/>
      <c r="E595" s="89" t="s">
        <v>549</v>
      </c>
      <c r="F595" s="90"/>
      <c r="H595" s="91"/>
      <c r="I595" s="92" t="str">
        <f t="shared" si="435"/>
        <v/>
      </c>
      <c r="J595" s="93" t="str">
        <f t="shared" si="422"/>
        <v/>
      </c>
      <c r="K595" s="94" t="s">
        <v>549</v>
      </c>
      <c r="L595" s="95" t="str">
        <f t="shared" si="423"/>
        <v/>
      </c>
      <c r="M595" s="96" t="str">
        <f t="shared" si="424"/>
        <v/>
      </c>
      <c r="N595" s="97" t="s">
        <v>549</v>
      </c>
      <c r="O595" s="97" t="str">
        <f t="shared" si="425"/>
        <v/>
      </c>
      <c r="P595" s="95" t="str">
        <f t="shared" si="426"/>
        <v/>
      </c>
      <c r="Q595" s="98" t="str">
        <f t="shared" si="427"/>
        <v/>
      </c>
      <c r="R595" s="119"/>
    </row>
    <row r="596" spans="1:18" ht="15.6" x14ac:dyDescent="0.3">
      <c r="A596" s="86" t="str">
        <f>IF(TRIM(H596)&lt;&gt;"",COUNTA(H$9:$H596)&amp;"","")</f>
        <v/>
      </c>
      <c r="B596" s="87"/>
      <c r="C596" s="87"/>
      <c r="D596" s="88"/>
      <c r="E596" s="164" t="s">
        <v>200</v>
      </c>
      <c r="F596" s="90"/>
      <c r="H596" s="91"/>
      <c r="I596" s="92" t="str">
        <f t="shared" si="435"/>
        <v/>
      </c>
      <c r="J596" s="93" t="str">
        <f t="shared" si="422"/>
        <v/>
      </c>
      <c r="K596" s="94" t="s">
        <v>549</v>
      </c>
      <c r="L596" s="95" t="str">
        <f t="shared" si="423"/>
        <v/>
      </c>
      <c r="M596" s="96" t="str">
        <f t="shared" si="424"/>
        <v/>
      </c>
      <c r="N596" s="97" t="s">
        <v>549</v>
      </c>
      <c r="O596" s="97" t="str">
        <f t="shared" si="425"/>
        <v/>
      </c>
      <c r="P596" s="95" t="str">
        <f t="shared" si="426"/>
        <v/>
      </c>
      <c r="Q596" s="98" t="str">
        <f t="shared" si="427"/>
        <v/>
      </c>
      <c r="R596" s="119"/>
    </row>
    <row r="597" spans="1:18" x14ac:dyDescent="0.3">
      <c r="A597" s="86" t="str">
        <f>IF(TRIM(H597)&lt;&gt;"",COUNTA(H$9:$H597)&amp;"","")</f>
        <v>421</v>
      </c>
      <c r="B597" s="87" t="s">
        <v>536</v>
      </c>
      <c r="C597" s="87" t="s">
        <v>536</v>
      </c>
      <c r="D597" s="88"/>
      <c r="E597" s="89" t="s">
        <v>710</v>
      </c>
      <c r="F597" s="90">
        <v>1285</v>
      </c>
      <c r="H597" s="91" t="s">
        <v>210</v>
      </c>
      <c r="I597" s="92">
        <v>0.1</v>
      </c>
      <c r="J597" s="93">
        <f t="shared" si="422"/>
        <v>1413.5</v>
      </c>
      <c r="K597" s="94">
        <v>2.7</v>
      </c>
      <c r="L597" s="95">
        <f t="shared" si="423"/>
        <v>3816.4500000000003</v>
      </c>
      <c r="M597" s="96">
        <f t="shared" si="424"/>
        <v>75</v>
      </c>
      <c r="N597" s="97">
        <v>4.4999999999999998E-2</v>
      </c>
      <c r="O597" s="97">
        <f t="shared" si="425"/>
        <v>63.607499999999995</v>
      </c>
      <c r="P597" s="95">
        <f t="shared" si="426"/>
        <v>4770.5625</v>
      </c>
      <c r="Q597" s="98">
        <f t="shared" si="427"/>
        <v>8587.0125000000007</v>
      </c>
      <c r="R597" s="119"/>
    </row>
    <row r="598" spans="1:18" ht="15" thickBot="1" x14ac:dyDescent="0.35">
      <c r="A598" s="86" t="str">
        <f>IF(TRIM(H598)&lt;&gt;"",COUNTA(H$9:$H598)&amp;"","")</f>
        <v/>
      </c>
      <c r="B598" s="101"/>
      <c r="C598" s="101"/>
      <c r="D598" s="88"/>
      <c r="E598" s="102"/>
      <c r="F598" s="90"/>
      <c r="H598" s="91"/>
      <c r="I598" s="92" t="str">
        <f t="shared" ref="I598" si="436">IF(F598=0,"",0)</f>
        <v/>
      </c>
      <c r="J598" s="93" t="str">
        <f t="shared" ref="J598" si="437">IF(F598=0,"",F598+(F598*I598))</f>
        <v/>
      </c>
      <c r="K598" s="94" t="str">
        <f t="shared" ref="K598" si="438">IF(F598=0,"",0)</f>
        <v/>
      </c>
      <c r="L598" s="95" t="str">
        <f t="shared" ref="L598" si="439">IF(F598=0,"",K598*J598)</f>
        <v/>
      </c>
      <c r="M598" s="96" t="str">
        <f t="shared" ref="M598" si="440">IF(F598=0,"",M$7)</f>
        <v/>
      </c>
      <c r="N598" s="97" t="str">
        <f t="shared" ref="N598" si="441">IF(F598=0,"",0)</f>
        <v/>
      </c>
      <c r="O598" s="97" t="str">
        <f t="shared" ref="O598" si="442">IF(F598=0,"",N598*J598)</f>
        <v/>
      </c>
      <c r="P598" s="95" t="str">
        <f t="shared" ref="P598" si="443">IF(F598=0,"",O598*M598)</f>
        <v/>
      </c>
      <c r="Q598" s="98" t="str">
        <f t="shared" ref="Q598" si="444">IF(F598=0,"",L598+P598)</f>
        <v/>
      </c>
      <c r="R598" s="119"/>
    </row>
    <row r="599" spans="1:18" s="114" customFormat="1" ht="16.2" thickBot="1" x14ac:dyDescent="0.35">
      <c r="A599" s="86" t="str">
        <f>IF(TRIM(H599)&lt;&gt;"",COUNTA(H$9:$H599)&amp;"","")</f>
        <v/>
      </c>
      <c r="B599" s="121"/>
      <c r="C599" s="121"/>
      <c r="D599" s="122"/>
      <c r="E599" s="105"/>
      <c r="F599" s="90"/>
      <c r="H599" s="123"/>
      <c r="I599" s="108" t="s">
        <v>12</v>
      </c>
      <c r="J599" s="109"/>
      <c r="K599" s="110">
        <f>SUM(L$389:L$598)</f>
        <v>163427.56909999994</v>
      </c>
      <c r="L599" s="190" t="s">
        <v>13</v>
      </c>
      <c r="M599" s="191"/>
      <c r="N599" s="111">
        <f>SUM(P$389:P$598)</f>
        <v>176631.67387500004</v>
      </c>
      <c r="O599" s="190" t="s">
        <v>42</v>
      </c>
      <c r="P599" s="191"/>
      <c r="Q599" s="112">
        <f>SUM(O$389:O$598)</f>
        <v>2355.0889850000008</v>
      </c>
      <c r="R599" s="113">
        <f>SUM(Q$389:Q$598)</f>
        <v>340059.24297500012</v>
      </c>
    </row>
    <row r="600" spans="1:18" s="171" customFormat="1" ht="20.100000000000001" customHeight="1" x14ac:dyDescent="0.3">
      <c r="A600" s="167" t="str">
        <f>IF(TRIM(H600)&lt;&gt;"",COUNTA(H$9:$H600)&amp;"","")</f>
        <v/>
      </c>
      <c r="B600" s="168"/>
      <c r="C600" s="168"/>
      <c r="D600" s="169">
        <v>230000</v>
      </c>
      <c r="E600" s="169" t="s">
        <v>175</v>
      </c>
      <c r="F600" s="170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72"/>
    </row>
    <row r="601" spans="1:18" ht="15.6" x14ac:dyDescent="0.3">
      <c r="A601" s="86" t="str">
        <f>IF(TRIM(H601)&lt;&gt;"",COUNTA(H$9:$H601)&amp;"","")</f>
        <v/>
      </c>
      <c r="B601" s="87"/>
      <c r="C601" s="87"/>
      <c r="D601" s="88"/>
      <c r="E601" s="164" t="s">
        <v>711</v>
      </c>
      <c r="F601" s="90"/>
      <c r="H601" s="91"/>
      <c r="I601" s="92" t="str">
        <f t="shared" ref="I601:I723" si="445">IF(F601=0,"",0)</f>
        <v/>
      </c>
      <c r="J601" s="93" t="str">
        <f t="shared" ref="J601:J723" si="446">IF(F601=0,"",F601+(F601*I601))</f>
        <v/>
      </c>
      <c r="K601" s="94" t="str">
        <f t="shared" ref="K601:K723" si="447">IF(F601=0,"",0)</f>
        <v/>
      </c>
      <c r="L601" s="95" t="str">
        <f t="shared" ref="L601:L723" si="448">IF(F601=0,"",K601*J601)</f>
        <v/>
      </c>
      <c r="M601" s="96" t="str">
        <f t="shared" ref="M601:M723" si="449">IF(F601=0,"",M$7)</f>
        <v/>
      </c>
      <c r="N601" s="97" t="str">
        <f t="shared" ref="N601:N723" si="450">IF(F601=0,"",0)</f>
        <v/>
      </c>
      <c r="O601" s="97" t="str">
        <f t="shared" ref="O601:O723" si="451">IF(F601=0,"",N601*J601)</f>
        <v/>
      </c>
      <c r="P601" s="95" t="str">
        <f t="shared" ref="P601:P723" si="452">IF(F601=0,"",O601*M601)</f>
        <v/>
      </c>
      <c r="Q601" s="98" t="str">
        <f t="shared" ref="Q601:Q723" si="453">IF(F601=0,"",L601+P601)</f>
        <v/>
      </c>
      <c r="R601" s="119"/>
    </row>
    <row r="602" spans="1:18" x14ac:dyDescent="0.3">
      <c r="A602" s="86" t="str">
        <f>IF(TRIM(H602)&lt;&gt;"",COUNTA(H$9:$H602)&amp;"","")</f>
        <v/>
      </c>
      <c r="B602" s="87"/>
      <c r="C602" s="87"/>
      <c r="D602" s="88"/>
      <c r="E602" s="125" t="s">
        <v>712</v>
      </c>
      <c r="F602" s="90"/>
      <c r="H602" s="91"/>
      <c r="I602" s="92" t="str">
        <f t="shared" si="445"/>
        <v/>
      </c>
      <c r="J602" s="93" t="str">
        <f t="shared" si="446"/>
        <v/>
      </c>
      <c r="K602" s="94" t="str">
        <f t="shared" si="447"/>
        <v/>
      </c>
      <c r="L602" s="95" t="str">
        <f t="shared" si="448"/>
        <v/>
      </c>
      <c r="M602" s="96" t="str">
        <f t="shared" si="449"/>
        <v/>
      </c>
      <c r="N602" s="97" t="str">
        <f t="shared" si="450"/>
        <v/>
      </c>
      <c r="O602" s="97" t="str">
        <f t="shared" si="451"/>
        <v/>
      </c>
      <c r="P602" s="95" t="str">
        <f t="shared" si="452"/>
        <v/>
      </c>
      <c r="Q602" s="98" t="str">
        <f t="shared" si="453"/>
        <v/>
      </c>
      <c r="R602" s="119"/>
    </row>
    <row r="603" spans="1:18" x14ac:dyDescent="0.3">
      <c r="A603" s="86" t="str">
        <f>IF(TRIM(H603)&lt;&gt;"",COUNTA(H$9:$H603)&amp;"","")</f>
        <v>422</v>
      </c>
      <c r="B603" s="87" t="s">
        <v>713</v>
      </c>
      <c r="C603" s="87" t="s">
        <v>713</v>
      </c>
      <c r="D603" s="88"/>
      <c r="E603" s="89" t="s">
        <v>714</v>
      </c>
      <c r="F603" s="90">
        <v>12.07</v>
      </c>
      <c r="H603" s="91" t="s">
        <v>210</v>
      </c>
      <c r="I603" s="92">
        <v>0.1</v>
      </c>
      <c r="J603" s="93">
        <f t="shared" si="446"/>
        <v>13.277000000000001</v>
      </c>
      <c r="K603" s="94">
        <v>6</v>
      </c>
      <c r="L603" s="95">
        <f t="shared" si="448"/>
        <v>79.662000000000006</v>
      </c>
      <c r="M603" s="96">
        <f t="shared" si="449"/>
        <v>75</v>
      </c>
      <c r="N603" s="97">
        <v>0.1</v>
      </c>
      <c r="O603" s="97">
        <f t="shared" si="451"/>
        <v>1.3277000000000001</v>
      </c>
      <c r="P603" s="95">
        <f t="shared" si="452"/>
        <v>99.577500000000015</v>
      </c>
      <c r="Q603" s="98">
        <f t="shared" si="453"/>
        <v>179.23950000000002</v>
      </c>
      <c r="R603" s="119"/>
    </row>
    <row r="604" spans="1:18" x14ac:dyDescent="0.3">
      <c r="A604" s="86" t="str">
        <f>IF(TRIM(H604)&lt;&gt;"",COUNTA(H$9:$H604)&amp;"","")</f>
        <v>423</v>
      </c>
      <c r="B604" s="87" t="s">
        <v>713</v>
      </c>
      <c r="C604" s="87" t="s">
        <v>713</v>
      </c>
      <c r="D604" s="88"/>
      <c r="E604" s="89" t="s">
        <v>715</v>
      </c>
      <c r="F604" s="90">
        <v>26.12</v>
      </c>
      <c r="H604" s="91" t="s">
        <v>210</v>
      </c>
      <c r="I604" s="92">
        <v>0.1</v>
      </c>
      <c r="J604" s="93">
        <f t="shared" si="446"/>
        <v>28.731999999999999</v>
      </c>
      <c r="K604" s="94">
        <v>13.2</v>
      </c>
      <c r="L604" s="95">
        <f t="shared" si="448"/>
        <v>379.26239999999996</v>
      </c>
      <c r="M604" s="96">
        <f t="shared" si="449"/>
        <v>75</v>
      </c>
      <c r="N604" s="97">
        <v>0.22000000000000003</v>
      </c>
      <c r="O604" s="97">
        <f t="shared" si="451"/>
        <v>6.3210400000000009</v>
      </c>
      <c r="P604" s="95">
        <f t="shared" si="452"/>
        <v>474.07800000000009</v>
      </c>
      <c r="Q604" s="98">
        <f t="shared" si="453"/>
        <v>853.34040000000005</v>
      </c>
      <c r="R604" s="119"/>
    </row>
    <row r="605" spans="1:18" x14ac:dyDescent="0.3">
      <c r="A605" s="86" t="str">
        <f>IF(TRIM(H605)&lt;&gt;"",COUNTA(H$9:$H605)&amp;"","")</f>
        <v>424</v>
      </c>
      <c r="B605" s="87" t="s">
        <v>713</v>
      </c>
      <c r="C605" s="87" t="s">
        <v>713</v>
      </c>
      <c r="D605" s="88"/>
      <c r="E605" s="100" t="s">
        <v>716</v>
      </c>
      <c r="F605" s="90">
        <v>15.86</v>
      </c>
      <c r="H605" s="91" t="s">
        <v>210</v>
      </c>
      <c r="I605" s="92">
        <v>0.1</v>
      </c>
      <c r="J605" s="93">
        <f t="shared" si="446"/>
        <v>17.445999999999998</v>
      </c>
      <c r="K605" s="94">
        <v>15.6</v>
      </c>
      <c r="L605" s="95">
        <f t="shared" si="448"/>
        <v>272.15759999999995</v>
      </c>
      <c r="M605" s="96">
        <f t="shared" si="449"/>
        <v>75</v>
      </c>
      <c r="N605" s="97">
        <v>0.26</v>
      </c>
      <c r="O605" s="97">
        <f t="shared" si="451"/>
        <v>4.5359599999999993</v>
      </c>
      <c r="P605" s="95">
        <f t="shared" si="452"/>
        <v>340.19699999999995</v>
      </c>
      <c r="Q605" s="98">
        <f t="shared" si="453"/>
        <v>612.35459999999989</v>
      </c>
      <c r="R605" s="119"/>
    </row>
    <row r="606" spans="1:18" x14ac:dyDescent="0.3">
      <c r="A606" s="86" t="str">
        <f>IF(TRIM(H606)&lt;&gt;"",COUNTA(H$9:$H606)&amp;"","")</f>
        <v>425</v>
      </c>
      <c r="B606" s="87" t="s">
        <v>713</v>
      </c>
      <c r="C606" s="87" t="s">
        <v>713</v>
      </c>
      <c r="D606" s="88"/>
      <c r="E606" s="100" t="s">
        <v>717</v>
      </c>
      <c r="F606" s="90">
        <v>20.48</v>
      </c>
      <c r="H606" s="91" t="s">
        <v>210</v>
      </c>
      <c r="I606" s="92">
        <v>0.1</v>
      </c>
      <c r="J606" s="93">
        <f t="shared" si="446"/>
        <v>22.527999999999999</v>
      </c>
      <c r="K606" s="94">
        <v>20.399999999999999</v>
      </c>
      <c r="L606" s="95">
        <f t="shared" si="448"/>
        <v>459.57119999999992</v>
      </c>
      <c r="M606" s="96">
        <f t="shared" si="449"/>
        <v>75</v>
      </c>
      <c r="N606" s="97">
        <v>0.34</v>
      </c>
      <c r="O606" s="97">
        <f t="shared" si="451"/>
        <v>7.6595199999999997</v>
      </c>
      <c r="P606" s="95">
        <f t="shared" si="452"/>
        <v>574.46399999999994</v>
      </c>
      <c r="Q606" s="98">
        <f t="shared" si="453"/>
        <v>1034.0351999999998</v>
      </c>
      <c r="R606" s="119"/>
    </row>
    <row r="607" spans="1:18" x14ac:dyDescent="0.3">
      <c r="A607" s="86" t="str">
        <f>IF(TRIM(H607)&lt;&gt;"",COUNTA(H$9:$H607)&amp;"","")</f>
        <v>426</v>
      </c>
      <c r="B607" s="87" t="s">
        <v>713</v>
      </c>
      <c r="C607" s="87" t="s">
        <v>713</v>
      </c>
      <c r="D607" s="88"/>
      <c r="E607" s="100" t="s">
        <v>718</v>
      </c>
      <c r="F607" s="90">
        <v>10.06</v>
      </c>
      <c r="H607" s="91" t="s">
        <v>210</v>
      </c>
      <c r="I607" s="92">
        <v>0.1</v>
      </c>
      <c r="J607" s="93">
        <f t="shared" si="446"/>
        <v>11.066000000000001</v>
      </c>
      <c r="K607" s="94">
        <v>22.799999999999997</v>
      </c>
      <c r="L607" s="95">
        <f t="shared" si="448"/>
        <v>252.30479999999997</v>
      </c>
      <c r="M607" s="96">
        <f t="shared" si="449"/>
        <v>75</v>
      </c>
      <c r="N607" s="97">
        <v>0.38</v>
      </c>
      <c r="O607" s="97">
        <f t="shared" si="451"/>
        <v>4.2050800000000006</v>
      </c>
      <c r="P607" s="95">
        <f t="shared" si="452"/>
        <v>315.38100000000003</v>
      </c>
      <c r="Q607" s="98">
        <f t="shared" si="453"/>
        <v>567.68579999999997</v>
      </c>
      <c r="R607" s="119"/>
    </row>
    <row r="608" spans="1:18" x14ac:dyDescent="0.3">
      <c r="A608" s="86" t="str">
        <f>IF(TRIM(H608)&lt;&gt;"",COUNTA(H$9:$H608)&amp;"","")</f>
        <v>427</v>
      </c>
      <c r="B608" s="87" t="s">
        <v>713</v>
      </c>
      <c r="C608" s="87" t="s">
        <v>713</v>
      </c>
      <c r="D608" s="88"/>
      <c r="E608" s="100" t="s">
        <v>719</v>
      </c>
      <c r="F608" s="90">
        <v>15.41</v>
      </c>
      <c r="H608" s="91" t="s">
        <v>210</v>
      </c>
      <c r="I608" s="92">
        <v>0.1</v>
      </c>
      <c r="J608" s="93">
        <f t="shared" si="446"/>
        <v>16.951000000000001</v>
      </c>
      <c r="K608" s="94">
        <v>25.2</v>
      </c>
      <c r="L608" s="95">
        <f t="shared" si="448"/>
        <v>427.16520000000003</v>
      </c>
      <c r="M608" s="96">
        <f t="shared" si="449"/>
        <v>75</v>
      </c>
      <c r="N608" s="97">
        <v>0.42000000000000004</v>
      </c>
      <c r="O608" s="97">
        <f t="shared" si="451"/>
        <v>7.1194200000000007</v>
      </c>
      <c r="P608" s="95">
        <f t="shared" si="452"/>
        <v>533.95650000000001</v>
      </c>
      <c r="Q608" s="98">
        <f t="shared" si="453"/>
        <v>961.12170000000003</v>
      </c>
      <c r="R608" s="119"/>
    </row>
    <row r="609" spans="1:18" x14ac:dyDescent="0.3">
      <c r="A609" s="86" t="str">
        <f>IF(TRIM(H609)&lt;&gt;"",COUNTA(H$9:$H609)&amp;"","")</f>
        <v>428</v>
      </c>
      <c r="B609" s="87" t="s">
        <v>713</v>
      </c>
      <c r="C609" s="87" t="s">
        <v>713</v>
      </c>
      <c r="D609" s="88"/>
      <c r="E609" s="100" t="s">
        <v>720</v>
      </c>
      <c r="F609" s="90">
        <v>33.03</v>
      </c>
      <c r="H609" s="91" t="s">
        <v>210</v>
      </c>
      <c r="I609" s="92">
        <v>0.1</v>
      </c>
      <c r="J609" s="93">
        <f t="shared" si="446"/>
        <v>36.332999999999998</v>
      </c>
      <c r="K609" s="94">
        <v>32.4</v>
      </c>
      <c r="L609" s="95">
        <f t="shared" si="448"/>
        <v>1177.1891999999998</v>
      </c>
      <c r="M609" s="96">
        <f t="shared" si="449"/>
        <v>75</v>
      </c>
      <c r="N609" s="97">
        <v>0.54</v>
      </c>
      <c r="O609" s="97">
        <f t="shared" si="451"/>
        <v>19.619820000000001</v>
      </c>
      <c r="P609" s="95">
        <f t="shared" si="452"/>
        <v>1471.4865</v>
      </c>
      <c r="Q609" s="98">
        <f t="shared" si="453"/>
        <v>2648.6756999999998</v>
      </c>
      <c r="R609" s="119"/>
    </row>
    <row r="610" spans="1:18" x14ac:dyDescent="0.3">
      <c r="A610" s="86" t="str">
        <f>IF(TRIM(H610)&lt;&gt;"",COUNTA(H$9:$H610)&amp;"","")</f>
        <v/>
      </c>
      <c r="B610" s="87"/>
      <c r="C610" s="87"/>
      <c r="D610" s="88"/>
      <c r="E610" s="100"/>
      <c r="F610" s="90"/>
      <c r="H610" s="91"/>
      <c r="I610" s="92" t="str">
        <f t="shared" si="445"/>
        <v/>
      </c>
      <c r="J610" s="93" t="str">
        <f t="shared" si="446"/>
        <v/>
      </c>
      <c r="K610" s="94" t="s">
        <v>549</v>
      </c>
      <c r="L610" s="95" t="str">
        <f t="shared" si="448"/>
        <v/>
      </c>
      <c r="M610" s="96" t="str">
        <f t="shared" si="449"/>
        <v/>
      </c>
      <c r="N610" s="97" t="s">
        <v>549</v>
      </c>
      <c r="O610" s="97" t="str">
        <f t="shared" si="451"/>
        <v/>
      </c>
      <c r="P610" s="95" t="str">
        <f t="shared" si="452"/>
        <v/>
      </c>
      <c r="Q610" s="98" t="str">
        <f t="shared" si="453"/>
        <v/>
      </c>
      <c r="R610" s="119"/>
    </row>
    <row r="611" spans="1:18" x14ac:dyDescent="0.3">
      <c r="A611" s="86" t="str">
        <f>IF(TRIM(H611)&lt;&gt;"",COUNTA(H$9:$H611)&amp;"","")</f>
        <v/>
      </c>
      <c r="B611" s="87"/>
      <c r="C611" s="87"/>
      <c r="D611" s="88"/>
      <c r="E611" s="125" t="s">
        <v>198</v>
      </c>
      <c r="F611" s="90"/>
      <c r="H611" s="91"/>
      <c r="I611" s="92" t="str">
        <f t="shared" si="445"/>
        <v/>
      </c>
      <c r="J611" s="93" t="str">
        <f t="shared" si="446"/>
        <v/>
      </c>
      <c r="K611" s="94" t="s">
        <v>549</v>
      </c>
      <c r="L611" s="95" t="str">
        <f t="shared" si="448"/>
        <v/>
      </c>
      <c r="M611" s="96" t="str">
        <f t="shared" si="449"/>
        <v/>
      </c>
      <c r="N611" s="97" t="s">
        <v>549</v>
      </c>
      <c r="O611" s="97" t="str">
        <f t="shared" si="451"/>
        <v/>
      </c>
      <c r="P611" s="95" t="str">
        <f t="shared" si="452"/>
        <v/>
      </c>
      <c r="Q611" s="98" t="str">
        <f t="shared" si="453"/>
        <v/>
      </c>
      <c r="R611" s="119"/>
    </row>
    <row r="612" spans="1:18" x14ac:dyDescent="0.3">
      <c r="A612" s="86" t="str">
        <f>IF(TRIM(H612)&lt;&gt;"",COUNTA(H$9:$H612)&amp;"","")</f>
        <v>429</v>
      </c>
      <c r="B612" s="87" t="s">
        <v>713</v>
      </c>
      <c r="C612" s="87" t="s">
        <v>713</v>
      </c>
      <c r="D612" s="88"/>
      <c r="E612" s="89" t="s">
        <v>721</v>
      </c>
      <c r="F612" s="90">
        <v>31.88</v>
      </c>
      <c r="H612" s="91" t="s">
        <v>210</v>
      </c>
      <c r="I612" s="92">
        <v>0.1</v>
      </c>
      <c r="J612" s="93">
        <f t="shared" si="446"/>
        <v>35.067999999999998</v>
      </c>
      <c r="K612" s="94">
        <v>6.545454545454545</v>
      </c>
      <c r="L612" s="95">
        <f t="shared" si="448"/>
        <v>229.53599999999997</v>
      </c>
      <c r="M612" s="96">
        <f t="shared" si="449"/>
        <v>75</v>
      </c>
      <c r="N612" s="97">
        <v>0.10909090909090909</v>
      </c>
      <c r="O612" s="97">
        <f t="shared" si="451"/>
        <v>3.8255999999999997</v>
      </c>
      <c r="P612" s="95">
        <f t="shared" si="452"/>
        <v>286.91999999999996</v>
      </c>
      <c r="Q612" s="98">
        <f t="shared" si="453"/>
        <v>516.4559999999999</v>
      </c>
      <c r="R612" s="119"/>
    </row>
    <row r="613" spans="1:18" x14ac:dyDescent="0.3">
      <c r="A613" s="86" t="str">
        <f>IF(TRIM(H613)&lt;&gt;"",COUNTA(H$9:$H613)&amp;"","")</f>
        <v>430</v>
      </c>
      <c r="B613" s="87" t="s">
        <v>713</v>
      </c>
      <c r="C613" s="87" t="s">
        <v>713</v>
      </c>
      <c r="D613" s="88"/>
      <c r="E613" s="89" t="s">
        <v>722</v>
      </c>
      <c r="F613" s="90">
        <v>17.71</v>
      </c>
      <c r="H613" s="91" t="s">
        <v>210</v>
      </c>
      <c r="I613" s="92">
        <v>0.1</v>
      </c>
      <c r="J613" s="93">
        <f t="shared" si="446"/>
        <v>19.481000000000002</v>
      </c>
      <c r="K613" s="94">
        <v>7.6363636363636358</v>
      </c>
      <c r="L613" s="95">
        <f t="shared" si="448"/>
        <v>148.76400000000001</v>
      </c>
      <c r="M613" s="96">
        <f t="shared" si="449"/>
        <v>75</v>
      </c>
      <c r="N613" s="97">
        <v>0.12727272727272726</v>
      </c>
      <c r="O613" s="97">
        <f t="shared" si="451"/>
        <v>2.4794</v>
      </c>
      <c r="P613" s="95">
        <f t="shared" si="452"/>
        <v>185.95500000000001</v>
      </c>
      <c r="Q613" s="98">
        <f t="shared" si="453"/>
        <v>334.71900000000005</v>
      </c>
      <c r="R613" s="119"/>
    </row>
    <row r="614" spans="1:18" x14ac:dyDescent="0.3">
      <c r="A614" s="86" t="str">
        <f>IF(TRIM(H614)&lt;&gt;"",COUNTA(H$9:$H614)&amp;"","")</f>
        <v>431</v>
      </c>
      <c r="B614" s="87" t="s">
        <v>713</v>
      </c>
      <c r="C614" s="87" t="s">
        <v>713</v>
      </c>
      <c r="D614" s="88"/>
      <c r="E614" s="89" t="s">
        <v>723</v>
      </c>
      <c r="F614" s="90">
        <v>11.89</v>
      </c>
      <c r="H614" s="91" t="s">
        <v>210</v>
      </c>
      <c r="I614" s="92">
        <v>0.1</v>
      </c>
      <c r="J614" s="93">
        <f t="shared" si="446"/>
        <v>13.079000000000001</v>
      </c>
      <c r="K614" s="94">
        <v>8.7272727272727266</v>
      </c>
      <c r="L614" s="95">
        <f t="shared" si="448"/>
        <v>114.14399999999999</v>
      </c>
      <c r="M614" s="96">
        <f t="shared" si="449"/>
        <v>75</v>
      </c>
      <c r="N614" s="97">
        <v>0.14545454545454545</v>
      </c>
      <c r="O614" s="97">
        <f t="shared" si="451"/>
        <v>1.9024000000000001</v>
      </c>
      <c r="P614" s="95">
        <f t="shared" si="452"/>
        <v>142.68</v>
      </c>
      <c r="Q614" s="98">
        <f t="shared" si="453"/>
        <v>256.82400000000001</v>
      </c>
      <c r="R614" s="119"/>
    </row>
    <row r="615" spans="1:18" x14ac:dyDescent="0.3">
      <c r="A615" s="86" t="str">
        <f>IF(TRIM(H615)&lt;&gt;"",COUNTA(H$9:$H615)&amp;"","")</f>
        <v>432</v>
      </c>
      <c r="B615" s="87" t="s">
        <v>713</v>
      </c>
      <c r="C615" s="87" t="s">
        <v>713</v>
      </c>
      <c r="D615" s="88"/>
      <c r="E615" s="89" t="s">
        <v>724</v>
      </c>
      <c r="F615" s="90">
        <v>5.64</v>
      </c>
      <c r="H615" s="91" t="s">
        <v>210</v>
      </c>
      <c r="I615" s="92">
        <v>0.1</v>
      </c>
      <c r="J615" s="93">
        <f t="shared" si="446"/>
        <v>6.2039999999999997</v>
      </c>
      <c r="K615" s="94">
        <v>9.8181818181818166</v>
      </c>
      <c r="L615" s="95">
        <f t="shared" si="448"/>
        <v>60.911999999999985</v>
      </c>
      <c r="M615" s="96">
        <f t="shared" si="449"/>
        <v>75</v>
      </c>
      <c r="N615" s="97">
        <v>0.16363636363636364</v>
      </c>
      <c r="O615" s="97">
        <f t="shared" si="451"/>
        <v>1.0151999999999999</v>
      </c>
      <c r="P615" s="95">
        <f t="shared" si="452"/>
        <v>76.139999999999986</v>
      </c>
      <c r="Q615" s="98">
        <f t="shared" si="453"/>
        <v>137.05199999999996</v>
      </c>
      <c r="R615" s="119"/>
    </row>
    <row r="616" spans="1:18" x14ac:dyDescent="0.3">
      <c r="A616" s="86" t="str">
        <f>IF(TRIM(H616)&lt;&gt;"",COUNTA(H$9:$H616)&amp;"","")</f>
        <v>433</v>
      </c>
      <c r="B616" s="87" t="s">
        <v>713</v>
      </c>
      <c r="C616" s="87" t="s">
        <v>713</v>
      </c>
      <c r="D616" s="88"/>
      <c r="E616" s="89" t="s">
        <v>725</v>
      </c>
      <c r="F616" s="90">
        <v>24.98</v>
      </c>
      <c r="H616" s="91" t="s">
        <v>210</v>
      </c>
      <c r="I616" s="92">
        <v>0.1</v>
      </c>
      <c r="J616" s="93">
        <f t="shared" si="446"/>
        <v>27.478000000000002</v>
      </c>
      <c r="K616" s="94">
        <v>10.909090909090907</v>
      </c>
      <c r="L616" s="95">
        <f t="shared" si="448"/>
        <v>299.75999999999993</v>
      </c>
      <c r="M616" s="96">
        <f t="shared" si="449"/>
        <v>75</v>
      </c>
      <c r="N616" s="97">
        <v>0.18181818181818182</v>
      </c>
      <c r="O616" s="97">
        <f t="shared" si="451"/>
        <v>4.9960000000000004</v>
      </c>
      <c r="P616" s="95">
        <f t="shared" si="452"/>
        <v>374.70000000000005</v>
      </c>
      <c r="Q616" s="98">
        <f t="shared" si="453"/>
        <v>674.46</v>
      </c>
      <c r="R616" s="119"/>
    </row>
    <row r="617" spans="1:18" x14ac:dyDescent="0.3">
      <c r="A617" s="86" t="str">
        <f>IF(TRIM(H617)&lt;&gt;"",COUNTA(H$9:$H617)&amp;"","")</f>
        <v>434</v>
      </c>
      <c r="B617" s="87" t="s">
        <v>713</v>
      </c>
      <c r="C617" s="87" t="s">
        <v>713</v>
      </c>
      <c r="D617" s="88"/>
      <c r="E617" s="89" t="s">
        <v>726</v>
      </c>
      <c r="F617" s="90">
        <v>46.02</v>
      </c>
      <c r="H617" s="91" t="s">
        <v>210</v>
      </c>
      <c r="I617" s="92">
        <v>0.1</v>
      </c>
      <c r="J617" s="93">
        <f t="shared" si="446"/>
        <v>50.622</v>
      </c>
      <c r="K617" s="94">
        <v>9.8181818181818166</v>
      </c>
      <c r="L617" s="95">
        <f t="shared" si="448"/>
        <v>497.01599999999991</v>
      </c>
      <c r="M617" s="96">
        <f t="shared" si="449"/>
        <v>75</v>
      </c>
      <c r="N617" s="97">
        <v>0.16363636363636364</v>
      </c>
      <c r="O617" s="97">
        <f t="shared" si="451"/>
        <v>8.2835999999999999</v>
      </c>
      <c r="P617" s="95">
        <f t="shared" si="452"/>
        <v>621.27</v>
      </c>
      <c r="Q617" s="98">
        <f t="shared" si="453"/>
        <v>1118.2859999999998</v>
      </c>
      <c r="R617" s="119"/>
    </row>
    <row r="618" spans="1:18" x14ac:dyDescent="0.3">
      <c r="A618" s="86" t="str">
        <f>IF(TRIM(H618)&lt;&gt;"",COUNTA(H$9:$H618)&amp;"","")</f>
        <v>435</v>
      </c>
      <c r="B618" s="87" t="s">
        <v>713</v>
      </c>
      <c r="C618" s="87" t="s">
        <v>713</v>
      </c>
      <c r="D618" s="88"/>
      <c r="E618" s="89" t="s">
        <v>727</v>
      </c>
      <c r="F618" s="90">
        <v>22.18</v>
      </c>
      <c r="H618" s="91" t="s">
        <v>210</v>
      </c>
      <c r="I618" s="92">
        <v>0.1</v>
      </c>
      <c r="J618" s="93">
        <f t="shared" si="446"/>
        <v>24.398</v>
      </c>
      <c r="K618" s="94">
        <v>13.09090909090909</v>
      </c>
      <c r="L618" s="95">
        <f t="shared" si="448"/>
        <v>319.392</v>
      </c>
      <c r="M618" s="96">
        <f t="shared" si="449"/>
        <v>75</v>
      </c>
      <c r="N618" s="97">
        <v>0.21818181818181817</v>
      </c>
      <c r="O618" s="97">
        <f t="shared" si="451"/>
        <v>5.3231999999999999</v>
      </c>
      <c r="P618" s="95">
        <f t="shared" si="452"/>
        <v>399.24</v>
      </c>
      <c r="Q618" s="98">
        <f t="shared" si="453"/>
        <v>718.63200000000006</v>
      </c>
      <c r="R618" s="119"/>
    </row>
    <row r="619" spans="1:18" x14ac:dyDescent="0.3">
      <c r="A619" s="86" t="str">
        <f>IF(TRIM(H619)&lt;&gt;"",COUNTA(H$9:$H619)&amp;"","")</f>
        <v>436</v>
      </c>
      <c r="B619" s="87" t="s">
        <v>713</v>
      </c>
      <c r="C619" s="87" t="s">
        <v>713</v>
      </c>
      <c r="D619" s="88"/>
      <c r="E619" s="89" t="s">
        <v>728</v>
      </c>
      <c r="F619" s="90">
        <v>24.16</v>
      </c>
      <c r="H619" s="91" t="s">
        <v>210</v>
      </c>
      <c r="I619" s="92">
        <v>0.1</v>
      </c>
      <c r="J619" s="93">
        <f t="shared" si="446"/>
        <v>26.576000000000001</v>
      </c>
      <c r="K619" s="94">
        <v>13.09090909090909</v>
      </c>
      <c r="L619" s="95">
        <f t="shared" si="448"/>
        <v>347.904</v>
      </c>
      <c r="M619" s="96">
        <f t="shared" si="449"/>
        <v>75</v>
      </c>
      <c r="N619" s="97">
        <v>0.21818181818181817</v>
      </c>
      <c r="O619" s="97">
        <f t="shared" si="451"/>
        <v>5.7984</v>
      </c>
      <c r="P619" s="95">
        <f t="shared" si="452"/>
        <v>434.88</v>
      </c>
      <c r="Q619" s="98">
        <f t="shared" si="453"/>
        <v>782.78399999999999</v>
      </c>
      <c r="R619" s="119"/>
    </row>
    <row r="620" spans="1:18" x14ac:dyDescent="0.3">
      <c r="A620" s="86" t="str">
        <f>IF(TRIM(H620)&lt;&gt;"",COUNTA(H$9:$H620)&amp;"","")</f>
        <v>437</v>
      </c>
      <c r="B620" s="87" t="s">
        <v>713</v>
      </c>
      <c r="C620" s="87" t="s">
        <v>713</v>
      </c>
      <c r="D620" s="88"/>
      <c r="E620" s="89" t="s">
        <v>729</v>
      </c>
      <c r="F620" s="90">
        <v>8.15</v>
      </c>
      <c r="H620" s="91" t="s">
        <v>210</v>
      </c>
      <c r="I620" s="92">
        <v>0.1</v>
      </c>
      <c r="J620" s="93">
        <f t="shared" si="446"/>
        <v>8.9649999999999999</v>
      </c>
      <c r="K620" s="94">
        <v>16.36363636363636</v>
      </c>
      <c r="L620" s="95">
        <f t="shared" si="448"/>
        <v>146.69999999999996</v>
      </c>
      <c r="M620" s="96">
        <f t="shared" si="449"/>
        <v>75</v>
      </c>
      <c r="N620" s="97">
        <v>0.27272727272727271</v>
      </c>
      <c r="O620" s="97">
        <f t="shared" si="451"/>
        <v>2.4449999999999998</v>
      </c>
      <c r="P620" s="95">
        <f t="shared" si="452"/>
        <v>183.375</v>
      </c>
      <c r="Q620" s="98">
        <f t="shared" si="453"/>
        <v>330.07499999999993</v>
      </c>
      <c r="R620" s="119"/>
    </row>
    <row r="621" spans="1:18" x14ac:dyDescent="0.3">
      <c r="A621" s="86" t="str">
        <f>IF(TRIM(H621)&lt;&gt;"",COUNTA(H$9:$H621)&amp;"","")</f>
        <v>438</v>
      </c>
      <c r="B621" s="87" t="s">
        <v>713</v>
      </c>
      <c r="C621" s="87" t="s">
        <v>713</v>
      </c>
      <c r="D621" s="88"/>
      <c r="E621" s="89" t="s">
        <v>730</v>
      </c>
      <c r="F621" s="90">
        <v>5.87</v>
      </c>
      <c r="H621" s="91" t="s">
        <v>210</v>
      </c>
      <c r="I621" s="92">
        <v>0.1</v>
      </c>
      <c r="J621" s="93">
        <f t="shared" si="446"/>
        <v>6.4569999999999999</v>
      </c>
      <c r="K621" s="94">
        <v>13.09090909090909</v>
      </c>
      <c r="L621" s="95">
        <f t="shared" si="448"/>
        <v>84.527999999999992</v>
      </c>
      <c r="M621" s="96">
        <f t="shared" si="449"/>
        <v>75</v>
      </c>
      <c r="N621" s="97">
        <v>0.21818181818181817</v>
      </c>
      <c r="O621" s="97">
        <f t="shared" si="451"/>
        <v>1.4087999999999998</v>
      </c>
      <c r="P621" s="95">
        <f t="shared" si="452"/>
        <v>105.65999999999998</v>
      </c>
      <c r="Q621" s="98">
        <f t="shared" si="453"/>
        <v>190.18799999999999</v>
      </c>
      <c r="R621" s="119"/>
    </row>
    <row r="622" spans="1:18" x14ac:dyDescent="0.3">
      <c r="A622" s="86" t="str">
        <f>IF(TRIM(H622)&lt;&gt;"",COUNTA(H$9:$H622)&amp;"","")</f>
        <v>439</v>
      </c>
      <c r="B622" s="87" t="s">
        <v>713</v>
      </c>
      <c r="C622" s="87" t="s">
        <v>713</v>
      </c>
      <c r="D622" s="88"/>
      <c r="E622" s="89" t="s">
        <v>731</v>
      </c>
      <c r="F622" s="90">
        <v>6.52</v>
      </c>
      <c r="H622" s="91" t="s">
        <v>210</v>
      </c>
      <c r="I622" s="92">
        <v>0.1</v>
      </c>
      <c r="J622" s="93">
        <f t="shared" si="446"/>
        <v>7.1719999999999997</v>
      </c>
      <c r="K622" s="94">
        <v>15.272727272727272</v>
      </c>
      <c r="L622" s="95">
        <f t="shared" si="448"/>
        <v>109.53599999999999</v>
      </c>
      <c r="M622" s="96">
        <f t="shared" si="449"/>
        <v>75</v>
      </c>
      <c r="N622" s="97">
        <v>0.25454545454545452</v>
      </c>
      <c r="O622" s="97">
        <f t="shared" si="451"/>
        <v>1.8255999999999997</v>
      </c>
      <c r="P622" s="95">
        <f t="shared" si="452"/>
        <v>136.91999999999999</v>
      </c>
      <c r="Q622" s="98">
        <f t="shared" si="453"/>
        <v>246.45599999999996</v>
      </c>
      <c r="R622" s="119"/>
    </row>
    <row r="623" spans="1:18" x14ac:dyDescent="0.3">
      <c r="A623" s="86" t="str">
        <f>IF(TRIM(H623)&lt;&gt;"",COUNTA(H$9:$H623)&amp;"","")</f>
        <v>440</v>
      </c>
      <c r="B623" s="87" t="s">
        <v>713</v>
      </c>
      <c r="C623" s="87" t="s">
        <v>713</v>
      </c>
      <c r="D623" s="88"/>
      <c r="E623" s="89" t="s">
        <v>732</v>
      </c>
      <c r="F623" s="90">
        <v>200.84</v>
      </c>
      <c r="H623" s="91" t="s">
        <v>210</v>
      </c>
      <c r="I623" s="92">
        <v>0.1</v>
      </c>
      <c r="J623" s="93">
        <f t="shared" si="446"/>
        <v>220.92400000000001</v>
      </c>
      <c r="K623" s="94">
        <v>15.272727272727272</v>
      </c>
      <c r="L623" s="95">
        <f t="shared" si="448"/>
        <v>3374.1119999999996</v>
      </c>
      <c r="M623" s="96">
        <f t="shared" si="449"/>
        <v>75</v>
      </c>
      <c r="N623" s="97">
        <v>0.25454545454545452</v>
      </c>
      <c r="O623" s="97">
        <f t="shared" si="451"/>
        <v>56.235199999999999</v>
      </c>
      <c r="P623" s="95">
        <f t="shared" si="452"/>
        <v>4217.6400000000003</v>
      </c>
      <c r="Q623" s="98">
        <f t="shared" si="453"/>
        <v>7591.7520000000004</v>
      </c>
      <c r="R623" s="119"/>
    </row>
    <row r="624" spans="1:18" x14ac:dyDescent="0.3">
      <c r="A624" s="86" t="str">
        <f>IF(TRIM(H624)&lt;&gt;"",COUNTA(H$9:$H624)&amp;"","")</f>
        <v>441</v>
      </c>
      <c r="B624" s="87" t="s">
        <v>713</v>
      </c>
      <c r="C624" s="87" t="s">
        <v>713</v>
      </c>
      <c r="D624" s="88"/>
      <c r="E624" s="89" t="s">
        <v>733</v>
      </c>
      <c r="F624" s="90">
        <v>6.49</v>
      </c>
      <c r="H624" s="91" t="s">
        <v>210</v>
      </c>
      <c r="I624" s="92">
        <v>0.1</v>
      </c>
      <c r="J624" s="93">
        <f t="shared" si="446"/>
        <v>7.1390000000000002</v>
      </c>
      <c r="K624" s="94">
        <v>21.818181818181813</v>
      </c>
      <c r="L624" s="95">
        <f t="shared" si="448"/>
        <v>155.75999999999996</v>
      </c>
      <c r="M624" s="96">
        <f t="shared" si="449"/>
        <v>75</v>
      </c>
      <c r="N624" s="97">
        <v>0.36363636363636365</v>
      </c>
      <c r="O624" s="97">
        <f t="shared" si="451"/>
        <v>2.5960000000000001</v>
      </c>
      <c r="P624" s="95">
        <f t="shared" si="452"/>
        <v>194.70000000000002</v>
      </c>
      <c r="Q624" s="98">
        <f t="shared" si="453"/>
        <v>350.46</v>
      </c>
      <c r="R624" s="119"/>
    </row>
    <row r="625" spans="1:18" x14ac:dyDescent="0.3">
      <c r="A625" s="86" t="str">
        <f>IF(TRIM(H625)&lt;&gt;"",COUNTA(H$9:$H625)&amp;"","")</f>
        <v>442</v>
      </c>
      <c r="B625" s="87" t="s">
        <v>713</v>
      </c>
      <c r="C625" s="87" t="s">
        <v>713</v>
      </c>
      <c r="D625" s="88"/>
      <c r="E625" s="89" t="s">
        <v>734</v>
      </c>
      <c r="F625" s="90">
        <v>3.58</v>
      </c>
      <c r="H625" s="91" t="s">
        <v>210</v>
      </c>
      <c r="I625" s="92">
        <v>0.1</v>
      </c>
      <c r="J625" s="93">
        <f t="shared" si="446"/>
        <v>3.9380000000000002</v>
      </c>
      <c r="K625" s="94">
        <v>16.36363636363636</v>
      </c>
      <c r="L625" s="95">
        <f t="shared" si="448"/>
        <v>64.439999999999984</v>
      </c>
      <c r="M625" s="96">
        <f t="shared" si="449"/>
        <v>75</v>
      </c>
      <c r="N625" s="97">
        <v>0.27272727272727271</v>
      </c>
      <c r="O625" s="97">
        <f t="shared" si="451"/>
        <v>1.0740000000000001</v>
      </c>
      <c r="P625" s="95">
        <f t="shared" si="452"/>
        <v>80.550000000000011</v>
      </c>
      <c r="Q625" s="98">
        <f t="shared" si="453"/>
        <v>144.99</v>
      </c>
      <c r="R625" s="119"/>
    </row>
    <row r="626" spans="1:18" x14ac:dyDescent="0.3">
      <c r="A626" s="86" t="str">
        <f>IF(TRIM(H626)&lt;&gt;"",COUNTA(H$9:$H626)&amp;"","")</f>
        <v>443</v>
      </c>
      <c r="B626" s="87" t="s">
        <v>713</v>
      </c>
      <c r="C626" s="87" t="s">
        <v>713</v>
      </c>
      <c r="D626" s="88"/>
      <c r="E626" s="89" t="s">
        <v>735</v>
      </c>
      <c r="F626" s="90">
        <v>1.9</v>
      </c>
      <c r="H626" s="91" t="s">
        <v>210</v>
      </c>
      <c r="I626" s="92">
        <v>0.1</v>
      </c>
      <c r="J626" s="93">
        <f t="shared" si="446"/>
        <v>2.09</v>
      </c>
      <c r="K626" s="94">
        <v>19.636363636363633</v>
      </c>
      <c r="L626" s="95">
        <f t="shared" si="448"/>
        <v>41.039999999999992</v>
      </c>
      <c r="M626" s="96">
        <f t="shared" si="449"/>
        <v>75</v>
      </c>
      <c r="N626" s="97">
        <v>0.32727272727272727</v>
      </c>
      <c r="O626" s="97">
        <f t="shared" si="451"/>
        <v>0.68399999999999994</v>
      </c>
      <c r="P626" s="95">
        <f t="shared" si="452"/>
        <v>51.3</v>
      </c>
      <c r="Q626" s="98">
        <f t="shared" si="453"/>
        <v>92.339999999999989</v>
      </c>
      <c r="R626" s="119"/>
    </row>
    <row r="627" spans="1:18" x14ac:dyDescent="0.3">
      <c r="A627" s="86" t="str">
        <f>IF(TRIM(H627)&lt;&gt;"",COUNTA(H$9:$H627)&amp;"","")</f>
        <v>444</v>
      </c>
      <c r="B627" s="87" t="s">
        <v>713</v>
      </c>
      <c r="C627" s="87" t="s">
        <v>713</v>
      </c>
      <c r="D627" s="88"/>
      <c r="E627" s="89" t="s">
        <v>736</v>
      </c>
      <c r="F627" s="90">
        <v>10.9</v>
      </c>
      <c r="H627" s="91" t="s">
        <v>210</v>
      </c>
      <c r="I627" s="92">
        <v>0.1</v>
      </c>
      <c r="J627" s="93">
        <f t="shared" si="446"/>
        <v>11.99</v>
      </c>
      <c r="K627" s="94">
        <v>27.27272727272727</v>
      </c>
      <c r="L627" s="95">
        <f t="shared" si="448"/>
        <v>326.99999999999994</v>
      </c>
      <c r="M627" s="96">
        <f t="shared" si="449"/>
        <v>75</v>
      </c>
      <c r="N627" s="97">
        <v>0.45454545454545459</v>
      </c>
      <c r="O627" s="97">
        <f t="shared" si="451"/>
        <v>5.45</v>
      </c>
      <c r="P627" s="95">
        <f t="shared" si="452"/>
        <v>408.75</v>
      </c>
      <c r="Q627" s="98">
        <f t="shared" si="453"/>
        <v>735.75</v>
      </c>
      <c r="R627" s="119"/>
    </row>
    <row r="628" spans="1:18" x14ac:dyDescent="0.3">
      <c r="A628" s="86" t="str">
        <f>IF(TRIM(H628)&lt;&gt;"",COUNTA(H$9:$H628)&amp;"","")</f>
        <v>445</v>
      </c>
      <c r="B628" s="87" t="s">
        <v>713</v>
      </c>
      <c r="C628" s="87" t="s">
        <v>713</v>
      </c>
      <c r="D628" s="88"/>
      <c r="E628" s="89" t="s">
        <v>737</v>
      </c>
      <c r="F628" s="90">
        <v>12.16</v>
      </c>
      <c r="H628" s="91" t="s">
        <v>210</v>
      </c>
      <c r="I628" s="92">
        <v>0.1</v>
      </c>
      <c r="J628" s="93">
        <f t="shared" si="446"/>
        <v>13.376000000000001</v>
      </c>
      <c r="K628" s="94">
        <v>33.818181818181813</v>
      </c>
      <c r="L628" s="95">
        <f t="shared" si="448"/>
        <v>452.35199999999998</v>
      </c>
      <c r="M628" s="96">
        <f t="shared" si="449"/>
        <v>75</v>
      </c>
      <c r="N628" s="97">
        <v>0.56363636363636371</v>
      </c>
      <c r="O628" s="97">
        <f t="shared" si="451"/>
        <v>7.5392000000000019</v>
      </c>
      <c r="P628" s="95">
        <f t="shared" si="452"/>
        <v>565.44000000000017</v>
      </c>
      <c r="Q628" s="98">
        <f t="shared" si="453"/>
        <v>1017.7920000000001</v>
      </c>
      <c r="R628" s="119"/>
    </row>
    <row r="629" spans="1:18" x14ac:dyDescent="0.3">
      <c r="A629" s="86" t="str">
        <f>IF(TRIM(H629)&lt;&gt;"",COUNTA(H$9:$H629)&amp;"","")</f>
        <v>446</v>
      </c>
      <c r="B629" s="87" t="s">
        <v>713</v>
      </c>
      <c r="C629" s="87" t="s">
        <v>713</v>
      </c>
      <c r="D629" s="88"/>
      <c r="E629" s="89" t="s">
        <v>738</v>
      </c>
      <c r="F629" s="90">
        <v>19.899999999999999</v>
      </c>
      <c r="H629" s="91" t="s">
        <v>210</v>
      </c>
      <c r="I629" s="92">
        <v>0.1</v>
      </c>
      <c r="J629" s="93">
        <f t="shared" si="446"/>
        <v>21.889999999999997</v>
      </c>
      <c r="K629" s="94">
        <v>35.999999999999993</v>
      </c>
      <c r="L629" s="95">
        <f t="shared" si="448"/>
        <v>788.03999999999974</v>
      </c>
      <c r="M629" s="96">
        <f t="shared" si="449"/>
        <v>75</v>
      </c>
      <c r="N629" s="97">
        <v>0.6</v>
      </c>
      <c r="O629" s="97">
        <f t="shared" si="451"/>
        <v>13.133999999999999</v>
      </c>
      <c r="P629" s="95">
        <f t="shared" si="452"/>
        <v>985.04999999999984</v>
      </c>
      <c r="Q629" s="98">
        <f t="shared" si="453"/>
        <v>1773.0899999999997</v>
      </c>
      <c r="R629" s="119"/>
    </row>
    <row r="630" spans="1:18" x14ac:dyDescent="0.3">
      <c r="A630" s="86" t="str">
        <f>IF(TRIM(H630)&lt;&gt;"",COUNTA(H$9:$H630)&amp;"","")</f>
        <v/>
      </c>
      <c r="B630" s="87"/>
      <c r="C630" s="87"/>
      <c r="D630" s="88"/>
      <c r="E630" s="100"/>
      <c r="F630" s="90"/>
      <c r="H630" s="91"/>
      <c r="I630" s="92" t="str">
        <f t="shared" si="445"/>
        <v/>
      </c>
      <c r="J630" s="93" t="str">
        <f t="shared" si="446"/>
        <v/>
      </c>
      <c r="K630" s="94" t="s">
        <v>549</v>
      </c>
      <c r="L630" s="95" t="str">
        <f t="shared" si="448"/>
        <v/>
      </c>
      <c r="M630" s="96" t="str">
        <f t="shared" si="449"/>
        <v/>
      </c>
      <c r="N630" s="97" t="s">
        <v>549</v>
      </c>
      <c r="O630" s="97" t="str">
        <f t="shared" si="451"/>
        <v/>
      </c>
      <c r="P630" s="95" t="str">
        <f t="shared" si="452"/>
        <v/>
      </c>
      <c r="Q630" s="98" t="str">
        <f t="shared" si="453"/>
        <v/>
      </c>
      <c r="R630" s="119"/>
    </row>
    <row r="631" spans="1:18" x14ac:dyDescent="0.3">
      <c r="A631" s="86" t="str">
        <f>IF(TRIM(H631)&lt;&gt;"",COUNTA(H$9:$H631)&amp;"","")</f>
        <v/>
      </c>
      <c r="B631" s="87"/>
      <c r="C631" s="87"/>
      <c r="D631" s="88"/>
      <c r="E631" s="125" t="s">
        <v>550</v>
      </c>
      <c r="F631" s="90"/>
      <c r="H631" s="91"/>
      <c r="I631" s="92" t="str">
        <f t="shared" si="445"/>
        <v/>
      </c>
      <c r="J631" s="93" t="str">
        <f t="shared" si="446"/>
        <v/>
      </c>
      <c r="K631" s="94" t="s">
        <v>549</v>
      </c>
      <c r="L631" s="95" t="str">
        <f t="shared" si="448"/>
        <v/>
      </c>
      <c r="M631" s="96" t="str">
        <f t="shared" si="449"/>
        <v/>
      </c>
      <c r="N631" s="97" t="s">
        <v>549</v>
      </c>
      <c r="O631" s="97" t="str">
        <f t="shared" si="451"/>
        <v/>
      </c>
      <c r="P631" s="95" t="str">
        <f t="shared" si="452"/>
        <v/>
      </c>
      <c r="Q631" s="98" t="str">
        <f t="shared" si="453"/>
        <v/>
      </c>
      <c r="R631" s="119"/>
    </row>
    <row r="632" spans="1:18" x14ac:dyDescent="0.3">
      <c r="A632" s="86" t="str">
        <f>IF(TRIM(H632)&lt;&gt;"",COUNTA(H$9:$H632)&amp;"","")</f>
        <v>447</v>
      </c>
      <c r="B632" s="87" t="s">
        <v>713</v>
      </c>
      <c r="C632" s="87" t="s">
        <v>713</v>
      </c>
      <c r="D632" s="88"/>
      <c r="E632" s="100" t="s">
        <v>739</v>
      </c>
      <c r="F632" s="90">
        <v>2</v>
      </c>
      <c r="H632" s="91" t="s">
        <v>239</v>
      </c>
      <c r="I632" s="92">
        <f t="shared" si="445"/>
        <v>0</v>
      </c>
      <c r="J632" s="93">
        <f t="shared" si="446"/>
        <v>2</v>
      </c>
      <c r="K632" s="94">
        <v>28</v>
      </c>
      <c r="L632" s="95">
        <f t="shared" si="448"/>
        <v>56</v>
      </c>
      <c r="M632" s="96">
        <f t="shared" si="449"/>
        <v>75</v>
      </c>
      <c r="N632" s="97">
        <v>0.17499999999999999</v>
      </c>
      <c r="O632" s="97">
        <f t="shared" si="451"/>
        <v>0.35</v>
      </c>
      <c r="P632" s="95">
        <f t="shared" si="452"/>
        <v>26.25</v>
      </c>
      <c r="Q632" s="98">
        <f t="shared" si="453"/>
        <v>82.25</v>
      </c>
      <c r="R632" s="119"/>
    </row>
    <row r="633" spans="1:18" x14ac:dyDescent="0.3">
      <c r="A633" s="86" t="str">
        <f>IF(TRIM(H633)&lt;&gt;"",COUNTA(H$9:$H633)&amp;"","")</f>
        <v>448</v>
      </c>
      <c r="B633" s="87" t="s">
        <v>713</v>
      </c>
      <c r="C633" s="87" t="s">
        <v>713</v>
      </c>
      <c r="D633" s="88"/>
      <c r="E633" s="100" t="s">
        <v>740</v>
      </c>
      <c r="F633" s="90">
        <v>1</v>
      </c>
      <c r="H633" s="91" t="s">
        <v>239</v>
      </c>
      <c r="I633" s="92">
        <f t="shared" si="445"/>
        <v>0</v>
      </c>
      <c r="J633" s="93">
        <f t="shared" si="446"/>
        <v>1</v>
      </c>
      <c r="K633" s="94">
        <v>40</v>
      </c>
      <c r="L633" s="95">
        <f t="shared" si="448"/>
        <v>40</v>
      </c>
      <c r="M633" s="96">
        <f t="shared" si="449"/>
        <v>75</v>
      </c>
      <c r="N633" s="97">
        <v>0.25</v>
      </c>
      <c r="O633" s="97">
        <f t="shared" si="451"/>
        <v>0.25</v>
      </c>
      <c r="P633" s="95">
        <f t="shared" si="452"/>
        <v>18.75</v>
      </c>
      <c r="Q633" s="98">
        <f t="shared" si="453"/>
        <v>58.75</v>
      </c>
      <c r="R633" s="119"/>
    </row>
    <row r="634" spans="1:18" x14ac:dyDescent="0.3">
      <c r="A634" s="86" t="str">
        <f>IF(TRIM(H634)&lt;&gt;"",COUNTA(H$9:$H634)&amp;"","")</f>
        <v>449</v>
      </c>
      <c r="B634" s="87" t="s">
        <v>713</v>
      </c>
      <c r="C634" s="87" t="s">
        <v>713</v>
      </c>
      <c r="D634" s="88"/>
      <c r="E634" s="100" t="s">
        <v>741</v>
      </c>
      <c r="F634" s="90">
        <v>4</v>
      </c>
      <c r="H634" s="91" t="s">
        <v>239</v>
      </c>
      <c r="I634" s="92">
        <f t="shared" si="445"/>
        <v>0</v>
      </c>
      <c r="J634" s="93">
        <f t="shared" si="446"/>
        <v>4</v>
      </c>
      <c r="K634" s="94">
        <v>40</v>
      </c>
      <c r="L634" s="95">
        <f t="shared" si="448"/>
        <v>160</v>
      </c>
      <c r="M634" s="96">
        <f t="shared" si="449"/>
        <v>75</v>
      </c>
      <c r="N634" s="97">
        <v>0.25</v>
      </c>
      <c r="O634" s="97">
        <f t="shared" si="451"/>
        <v>1</v>
      </c>
      <c r="P634" s="95">
        <f t="shared" si="452"/>
        <v>75</v>
      </c>
      <c r="Q634" s="98">
        <f t="shared" si="453"/>
        <v>235</v>
      </c>
      <c r="R634" s="119"/>
    </row>
    <row r="635" spans="1:18" x14ac:dyDescent="0.3">
      <c r="A635" s="86" t="str">
        <f>IF(TRIM(H635)&lt;&gt;"",COUNTA(H$9:$H635)&amp;"","")</f>
        <v>450</v>
      </c>
      <c r="B635" s="87" t="s">
        <v>713</v>
      </c>
      <c r="C635" s="87" t="s">
        <v>713</v>
      </c>
      <c r="D635" s="88"/>
      <c r="E635" s="100" t="s">
        <v>742</v>
      </c>
      <c r="F635" s="90">
        <v>1</v>
      </c>
      <c r="H635" s="91" t="s">
        <v>239</v>
      </c>
      <c r="I635" s="92">
        <f t="shared" si="445"/>
        <v>0</v>
      </c>
      <c r="J635" s="93">
        <f t="shared" si="446"/>
        <v>1</v>
      </c>
      <c r="K635" s="94">
        <v>42.4</v>
      </c>
      <c r="L635" s="95">
        <f t="shared" si="448"/>
        <v>42.4</v>
      </c>
      <c r="M635" s="96">
        <f t="shared" si="449"/>
        <v>75</v>
      </c>
      <c r="N635" s="97">
        <v>0.26500000000000001</v>
      </c>
      <c r="O635" s="97">
        <f t="shared" si="451"/>
        <v>0.26500000000000001</v>
      </c>
      <c r="P635" s="95">
        <f t="shared" si="452"/>
        <v>19.875</v>
      </c>
      <c r="Q635" s="98">
        <f t="shared" si="453"/>
        <v>62.274999999999999</v>
      </c>
      <c r="R635" s="119"/>
    </row>
    <row r="636" spans="1:18" x14ac:dyDescent="0.3">
      <c r="A636" s="86" t="str">
        <f>IF(TRIM(H636)&lt;&gt;"",COUNTA(H$9:$H636)&amp;"","")</f>
        <v>451</v>
      </c>
      <c r="B636" s="87" t="s">
        <v>713</v>
      </c>
      <c r="C636" s="87" t="s">
        <v>713</v>
      </c>
      <c r="D636" s="88"/>
      <c r="E636" s="100" t="s">
        <v>743</v>
      </c>
      <c r="F636" s="90">
        <v>1</v>
      </c>
      <c r="H636" s="91" t="s">
        <v>239</v>
      </c>
      <c r="I636" s="92">
        <f t="shared" si="445"/>
        <v>0</v>
      </c>
      <c r="J636" s="93">
        <f t="shared" si="446"/>
        <v>1</v>
      </c>
      <c r="K636" s="94">
        <v>52</v>
      </c>
      <c r="L636" s="95">
        <f t="shared" si="448"/>
        <v>52</v>
      </c>
      <c r="M636" s="96">
        <f t="shared" si="449"/>
        <v>75</v>
      </c>
      <c r="N636" s="97">
        <v>0.32500000000000001</v>
      </c>
      <c r="O636" s="97">
        <f t="shared" si="451"/>
        <v>0.32500000000000001</v>
      </c>
      <c r="P636" s="95">
        <f t="shared" si="452"/>
        <v>24.375</v>
      </c>
      <c r="Q636" s="98">
        <f t="shared" si="453"/>
        <v>76.375</v>
      </c>
      <c r="R636" s="119"/>
    </row>
    <row r="637" spans="1:18" x14ac:dyDescent="0.3">
      <c r="A637" s="86" t="str">
        <f>IF(TRIM(H637)&lt;&gt;"",COUNTA(H$9:$H637)&amp;"","")</f>
        <v>452</v>
      </c>
      <c r="B637" s="87" t="s">
        <v>713</v>
      </c>
      <c r="C637" s="87" t="s">
        <v>713</v>
      </c>
      <c r="D637" s="88"/>
      <c r="E637" s="100" t="s">
        <v>744</v>
      </c>
      <c r="F637" s="90">
        <v>1</v>
      </c>
      <c r="H637" s="91" t="s">
        <v>239</v>
      </c>
      <c r="I637" s="92">
        <f t="shared" si="445"/>
        <v>0</v>
      </c>
      <c r="J637" s="93">
        <f t="shared" si="446"/>
        <v>1</v>
      </c>
      <c r="K637" s="94">
        <v>46</v>
      </c>
      <c r="L637" s="95">
        <f t="shared" si="448"/>
        <v>46</v>
      </c>
      <c r="M637" s="96">
        <f t="shared" si="449"/>
        <v>75</v>
      </c>
      <c r="N637" s="97">
        <v>0.28749999999999998</v>
      </c>
      <c r="O637" s="97">
        <f t="shared" si="451"/>
        <v>0.28749999999999998</v>
      </c>
      <c r="P637" s="95">
        <f t="shared" si="452"/>
        <v>21.5625</v>
      </c>
      <c r="Q637" s="98">
        <f t="shared" si="453"/>
        <v>67.5625</v>
      </c>
      <c r="R637" s="119"/>
    </row>
    <row r="638" spans="1:18" x14ac:dyDescent="0.3">
      <c r="A638" s="86" t="str">
        <f>IF(TRIM(H638)&lt;&gt;"",COUNTA(H$9:$H638)&amp;"","")</f>
        <v>453</v>
      </c>
      <c r="B638" s="87" t="s">
        <v>713</v>
      </c>
      <c r="C638" s="87" t="s">
        <v>713</v>
      </c>
      <c r="D638" s="88"/>
      <c r="E638" s="100" t="s">
        <v>745</v>
      </c>
      <c r="F638" s="90">
        <v>2</v>
      </c>
      <c r="H638" s="91" t="s">
        <v>239</v>
      </c>
      <c r="I638" s="92">
        <f t="shared" si="445"/>
        <v>0</v>
      </c>
      <c r="J638" s="93">
        <f t="shared" si="446"/>
        <v>2</v>
      </c>
      <c r="K638" s="94">
        <v>49.6</v>
      </c>
      <c r="L638" s="95">
        <f t="shared" si="448"/>
        <v>99.2</v>
      </c>
      <c r="M638" s="96">
        <f t="shared" si="449"/>
        <v>75</v>
      </c>
      <c r="N638" s="97">
        <v>0.31</v>
      </c>
      <c r="O638" s="97">
        <f t="shared" si="451"/>
        <v>0.62</v>
      </c>
      <c r="P638" s="95">
        <f t="shared" si="452"/>
        <v>46.5</v>
      </c>
      <c r="Q638" s="98">
        <f t="shared" si="453"/>
        <v>145.69999999999999</v>
      </c>
      <c r="R638" s="119"/>
    </row>
    <row r="639" spans="1:18" x14ac:dyDescent="0.3">
      <c r="A639" s="86" t="str">
        <f>IF(TRIM(H639)&lt;&gt;"",COUNTA(H$9:$H639)&amp;"","")</f>
        <v>454</v>
      </c>
      <c r="B639" s="87" t="s">
        <v>713</v>
      </c>
      <c r="C639" s="87" t="s">
        <v>713</v>
      </c>
      <c r="D639" s="88"/>
      <c r="E639" s="100" t="s">
        <v>746</v>
      </c>
      <c r="F639" s="90">
        <v>2</v>
      </c>
      <c r="H639" s="91" t="s">
        <v>239</v>
      </c>
      <c r="I639" s="92">
        <f t="shared" si="445"/>
        <v>0</v>
      </c>
      <c r="J639" s="93">
        <f t="shared" si="446"/>
        <v>2</v>
      </c>
      <c r="K639" s="94">
        <v>58.4</v>
      </c>
      <c r="L639" s="95">
        <f t="shared" si="448"/>
        <v>116.8</v>
      </c>
      <c r="M639" s="96">
        <f t="shared" si="449"/>
        <v>75</v>
      </c>
      <c r="N639" s="97">
        <v>0.36500000000000005</v>
      </c>
      <c r="O639" s="97">
        <f t="shared" si="451"/>
        <v>0.73000000000000009</v>
      </c>
      <c r="P639" s="95">
        <f t="shared" si="452"/>
        <v>54.750000000000007</v>
      </c>
      <c r="Q639" s="98">
        <f t="shared" si="453"/>
        <v>171.55</v>
      </c>
      <c r="R639" s="119"/>
    </row>
    <row r="640" spans="1:18" x14ac:dyDescent="0.3">
      <c r="A640" s="86" t="str">
        <f>IF(TRIM(H640)&lt;&gt;"",COUNTA(H$9:$H640)&amp;"","")</f>
        <v>455</v>
      </c>
      <c r="B640" s="87" t="s">
        <v>713</v>
      </c>
      <c r="C640" s="87" t="s">
        <v>713</v>
      </c>
      <c r="D640" s="88"/>
      <c r="E640" s="100" t="s">
        <v>746</v>
      </c>
      <c r="F640" s="90">
        <v>1</v>
      </c>
      <c r="H640" s="91" t="s">
        <v>239</v>
      </c>
      <c r="I640" s="92">
        <f t="shared" si="445"/>
        <v>0</v>
      </c>
      <c r="J640" s="93">
        <f t="shared" si="446"/>
        <v>1</v>
      </c>
      <c r="K640" s="94">
        <v>58.4</v>
      </c>
      <c r="L640" s="95">
        <f t="shared" si="448"/>
        <v>58.4</v>
      </c>
      <c r="M640" s="96">
        <f t="shared" si="449"/>
        <v>75</v>
      </c>
      <c r="N640" s="97">
        <v>0.36500000000000005</v>
      </c>
      <c r="O640" s="97">
        <f t="shared" si="451"/>
        <v>0.36500000000000005</v>
      </c>
      <c r="P640" s="95">
        <f t="shared" si="452"/>
        <v>27.375000000000004</v>
      </c>
      <c r="Q640" s="98">
        <f t="shared" si="453"/>
        <v>85.775000000000006</v>
      </c>
      <c r="R640" s="119"/>
    </row>
    <row r="641" spans="1:18" x14ac:dyDescent="0.3">
      <c r="A641" s="86" t="str">
        <f>IF(TRIM(H641)&lt;&gt;"",COUNTA(H$9:$H641)&amp;"","")</f>
        <v>456</v>
      </c>
      <c r="B641" s="87" t="s">
        <v>713</v>
      </c>
      <c r="C641" s="87" t="s">
        <v>713</v>
      </c>
      <c r="D641" s="88"/>
      <c r="E641" s="100" t="s">
        <v>747</v>
      </c>
      <c r="F641" s="90">
        <v>1</v>
      </c>
      <c r="H641" s="91" t="s">
        <v>239</v>
      </c>
      <c r="I641" s="92">
        <f t="shared" si="445"/>
        <v>0</v>
      </c>
      <c r="J641" s="93">
        <f t="shared" si="446"/>
        <v>1</v>
      </c>
      <c r="K641" s="94">
        <v>69.2</v>
      </c>
      <c r="L641" s="95">
        <f t="shared" si="448"/>
        <v>69.2</v>
      </c>
      <c r="M641" s="96">
        <f t="shared" si="449"/>
        <v>75</v>
      </c>
      <c r="N641" s="97">
        <v>0.4325</v>
      </c>
      <c r="O641" s="97">
        <f t="shared" si="451"/>
        <v>0.4325</v>
      </c>
      <c r="P641" s="95">
        <f t="shared" si="452"/>
        <v>32.4375</v>
      </c>
      <c r="Q641" s="98">
        <f t="shared" si="453"/>
        <v>101.6375</v>
      </c>
      <c r="R641" s="119"/>
    </row>
    <row r="642" spans="1:18" x14ac:dyDescent="0.3">
      <c r="A642" s="86" t="str">
        <f>IF(TRIM(H642)&lt;&gt;"",COUNTA(H$9:$H642)&amp;"","")</f>
        <v>457</v>
      </c>
      <c r="B642" s="87" t="s">
        <v>713</v>
      </c>
      <c r="C642" s="87" t="s">
        <v>713</v>
      </c>
      <c r="D642" s="88"/>
      <c r="E642" s="100" t="s">
        <v>748</v>
      </c>
      <c r="F642" s="90">
        <v>4</v>
      </c>
      <c r="H642" s="91" t="s">
        <v>239</v>
      </c>
      <c r="I642" s="92">
        <f t="shared" si="445"/>
        <v>0</v>
      </c>
      <c r="J642" s="93">
        <f t="shared" si="446"/>
        <v>4</v>
      </c>
      <c r="K642" s="94">
        <v>64</v>
      </c>
      <c r="L642" s="95">
        <f t="shared" si="448"/>
        <v>256</v>
      </c>
      <c r="M642" s="96">
        <f t="shared" si="449"/>
        <v>75</v>
      </c>
      <c r="N642" s="97">
        <v>0.4</v>
      </c>
      <c r="O642" s="97">
        <f t="shared" si="451"/>
        <v>1.6</v>
      </c>
      <c r="P642" s="95">
        <f t="shared" si="452"/>
        <v>120</v>
      </c>
      <c r="Q642" s="98">
        <f t="shared" si="453"/>
        <v>376</v>
      </c>
      <c r="R642" s="119"/>
    </row>
    <row r="643" spans="1:18" x14ac:dyDescent="0.3">
      <c r="A643" s="86" t="str">
        <f>IF(TRIM(H643)&lt;&gt;"",COUNTA(H$9:$H643)&amp;"","")</f>
        <v>458</v>
      </c>
      <c r="B643" s="87" t="s">
        <v>713</v>
      </c>
      <c r="C643" s="87" t="s">
        <v>713</v>
      </c>
      <c r="D643" s="88"/>
      <c r="E643" s="100" t="s">
        <v>749</v>
      </c>
      <c r="F643" s="90">
        <v>2</v>
      </c>
      <c r="H643" s="91" t="s">
        <v>239</v>
      </c>
      <c r="I643" s="92">
        <f t="shared" si="445"/>
        <v>0</v>
      </c>
      <c r="J643" s="93">
        <f t="shared" si="446"/>
        <v>2</v>
      </c>
      <c r="K643" s="94">
        <v>88</v>
      </c>
      <c r="L643" s="95">
        <f t="shared" si="448"/>
        <v>176</v>
      </c>
      <c r="M643" s="96">
        <f t="shared" si="449"/>
        <v>75</v>
      </c>
      <c r="N643" s="97">
        <v>0.55000000000000004</v>
      </c>
      <c r="O643" s="97">
        <f t="shared" si="451"/>
        <v>1.1000000000000001</v>
      </c>
      <c r="P643" s="95">
        <f t="shared" si="452"/>
        <v>82.5</v>
      </c>
      <c r="Q643" s="98">
        <f t="shared" si="453"/>
        <v>258.5</v>
      </c>
      <c r="R643" s="119"/>
    </row>
    <row r="644" spans="1:18" x14ac:dyDescent="0.3">
      <c r="A644" s="86" t="str">
        <f>IF(TRIM(H644)&lt;&gt;"",COUNTA(H$9:$H644)&amp;"","")</f>
        <v>459</v>
      </c>
      <c r="B644" s="87" t="s">
        <v>713</v>
      </c>
      <c r="C644" s="87" t="s">
        <v>713</v>
      </c>
      <c r="D644" s="88"/>
      <c r="E644" s="100" t="s">
        <v>750</v>
      </c>
      <c r="F644" s="90">
        <v>1</v>
      </c>
      <c r="H644" s="91" t="s">
        <v>239</v>
      </c>
      <c r="I644" s="92">
        <f t="shared" si="445"/>
        <v>0</v>
      </c>
      <c r="J644" s="93">
        <f t="shared" si="446"/>
        <v>1</v>
      </c>
      <c r="K644" s="94">
        <v>94</v>
      </c>
      <c r="L644" s="95">
        <f t="shared" si="448"/>
        <v>94</v>
      </c>
      <c r="M644" s="96">
        <f t="shared" si="449"/>
        <v>75</v>
      </c>
      <c r="N644" s="97">
        <v>0.58750000000000002</v>
      </c>
      <c r="O644" s="97">
        <f t="shared" si="451"/>
        <v>0.58750000000000002</v>
      </c>
      <c r="P644" s="95">
        <f t="shared" si="452"/>
        <v>44.0625</v>
      </c>
      <c r="Q644" s="98">
        <f t="shared" si="453"/>
        <v>138.0625</v>
      </c>
      <c r="R644" s="119"/>
    </row>
    <row r="645" spans="1:18" x14ac:dyDescent="0.3">
      <c r="A645" s="86" t="str">
        <f>IF(TRIM(H645)&lt;&gt;"",COUNTA(H$9:$H645)&amp;"","")</f>
        <v>460</v>
      </c>
      <c r="B645" s="87" t="s">
        <v>713</v>
      </c>
      <c r="C645" s="87" t="s">
        <v>713</v>
      </c>
      <c r="D645" s="88"/>
      <c r="E645" s="100" t="s">
        <v>751</v>
      </c>
      <c r="F645" s="90">
        <v>5</v>
      </c>
      <c r="H645" s="91" t="s">
        <v>239</v>
      </c>
      <c r="I645" s="92">
        <f t="shared" si="445"/>
        <v>0</v>
      </c>
      <c r="J645" s="93">
        <f t="shared" si="446"/>
        <v>5</v>
      </c>
      <c r="K645" s="94">
        <v>40</v>
      </c>
      <c r="L645" s="95">
        <f t="shared" si="448"/>
        <v>200</v>
      </c>
      <c r="M645" s="96">
        <f t="shared" si="449"/>
        <v>75</v>
      </c>
      <c r="N645" s="97">
        <v>0.25</v>
      </c>
      <c r="O645" s="97">
        <f t="shared" si="451"/>
        <v>1.25</v>
      </c>
      <c r="P645" s="95">
        <f t="shared" si="452"/>
        <v>93.75</v>
      </c>
      <c r="Q645" s="98">
        <f t="shared" si="453"/>
        <v>293.75</v>
      </c>
      <c r="R645" s="119"/>
    </row>
    <row r="646" spans="1:18" x14ac:dyDescent="0.3">
      <c r="A646" s="86" t="str">
        <f>IF(TRIM(H646)&lt;&gt;"",COUNTA(H$9:$H646)&amp;"","")</f>
        <v>461</v>
      </c>
      <c r="B646" s="87" t="s">
        <v>713</v>
      </c>
      <c r="C646" s="87" t="s">
        <v>713</v>
      </c>
      <c r="D646" s="88"/>
      <c r="E646" s="100" t="s">
        <v>752</v>
      </c>
      <c r="F646" s="90">
        <v>1</v>
      </c>
      <c r="H646" s="91" t="s">
        <v>239</v>
      </c>
      <c r="I646" s="92">
        <f t="shared" si="445"/>
        <v>0</v>
      </c>
      <c r="J646" s="93">
        <f t="shared" si="446"/>
        <v>1</v>
      </c>
      <c r="K646" s="94">
        <v>55.6</v>
      </c>
      <c r="L646" s="95">
        <f t="shared" si="448"/>
        <v>55.6</v>
      </c>
      <c r="M646" s="96">
        <f t="shared" si="449"/>
        <v>75</v>
      </c>
      <c r="N646" s="97">
        <v>0.34750000000000003</v>
      </c>
      <c r="O646" s="97">
        <f t="shared" si="451"/>
        <v>0.34750000000000003</v>
      </c>
      <c r="P646" s="95">
        <f t="shared" si="452"/>
        <v>26.062500000000004</v>
      </c>
      <c r="Q646" s="98">
        <f t="shared" si="453"/>
        <v>81.662500000000009</v>
      </c>
      <c r="R646" s="119"/>
    </row>
    <row r="647" spans="1:18" x14ac:dyDescent="0.3">
      <c r="A647" s="86" t="str">
        <f>IF(TRIM(H647)&lt;&gt;"",COUNTA(H$9:$H647)&amp;"","")</f>
        <v>462</v>
      </c>
      <c r="B647" s="87" t="s">
        <v>713</v>
      </c>
      <c r="C647" s="87" t="s">
        <v>713</v>
      </c>
      <c r="D647" s="88"/>
      <c r="E647" s="100" t="s">
        <v>753</v>
      </c>
      <c r="F647" s="90">
        <v>1</v>
      </c>
      <c r="H647" s="91" t="s">
        <v>239</v>
      </c>
      <c r="I647" s="92">
        <f t="shared" si="445"/>
        <v>0</v>
      </c>
      <c r="J647" s="93">
        <f t="shared" si="446"/>
        <v>1</v>
      </c>
      <c r="K647" s="94">
        <v>55.6</v>
      </c>
      <c r="L647" s="95">
        <f t="shared" si="448"/>
        <v>55.6</v>
      </c>
      <c r="M647" s="96">
        <f t="shared" si="449"/>
        <v>75</v>
      </c>
      <c r="N647" s="97">
        <v>0.34750000000000003</v>
      </c>
      <c r="O647" s="97">
        <f t="shared" si="451"/>
        <v>0.34750000000000003</v>
      </c>
      <c r="P647" s="95">
        <f t="shared" si="452"/>
        <v>26.062500000000004</v>
      </c>
      <c r="Q647" s="98">
        <f t="shared" si="453"/>
        <v>81.662500000000009</v>
      </c>
      <c r="R647" s="119"/>
    </row>
    <row r="648" spans="1:18" x14ac:dyDescent="0.3">
      <c r="A648" s="86" t="str">
        <f>IF(TRIM(H648)&lt;&gt;"",COUNTA(H$9:$H648)&amp;"","")</f>
        <v>463</v>
      </c>
      <c r="B648" s="87" t="s">
        <v>713</v>
      </c>
      <c r="C648" s="87" t="s">
        <v>713</v>
      </c>
      <c r="D648" s="88"/>
      <c r="E648" s="100" t="s">
        <v>754</v>
      </c>
      <c r="F648" s="90">
        <v>1</v>
      </c>
      <c r="H648" s="91" t="s">
        <v>239</v>
      </c>
      <c r="I648" s="92">
        <f t="shared" si="445"/>
        <v>0</v>
      </c>
      <c r="J648" s="93">
        <f t="shared" si="446"/>
        <v>1</v>
      </c>
      <c r="K648" s="94">
        <v>46</v>
      </c>
      <c r="L648" s="95">
        <f t="shared" si="448"/>
        <v>46</v>
      </c>
      <c r="M648" s="96">
        <f t="shared" si="449"/>
        <v>75</v>
      </c>
      <c r="N648" s="97">
        <v>0.28749999999999998</v>
      </c>
      <c r="O648" s="97">
        <f t="shared" si="451"/>
        <v>0.28749999999999998</v>
      </c>
      <c r="P648" s="95">
        <f t="shared" si="452"/>
        <v>21.5625</v>
      </c>
      <c r="Q648" s="98">
        <f t="shared" si="453"/>
        <v>67.5625</v>
      </c>
      <c r="R648" s="119"/>
    </row>
    <row r="649" spans="1:18" x14ac:dyDescent="0.3">
      <c r="A649" s="86" t="str">
        <f>IF(TRIM(H649)&lt;&gt;"",COUNTA(H$9:$H649)&amp;"","")</f>
        <v>464</v>
      </c>
      <c r="B649" s="87" t="s">
        <v>713</v>
      </c>
      <c r="C649" s="87" t="s">
        <v>713</v>
      </c>
      <c r="D649" s="88"/>
      <c r="E649" s="100" t="s">
        <v>755</v>
      </c>
      <c r="F649" s="90">
        <v>5</v>
      </c>
      <c r="H649" s="91" t="s">
        <v>239</v>
      </c>
      <c r="I649" s="92">
        <f t="shared" si="445"/>
        <v>0</v>
      </c>
      <c r="J649" s="93">
        <f t="shared" si="446"/>
        <v>5</v>
      </c>
      <c r="K649" s="94">
        <v>58</v>
      </c>
      <c r="L649" s="95">
        <f t="shared" si="448"/>
        <v>290</v>
      </c>
      <c r="M649" s="96">
        <f t="shared" si="449"/>
        <v>75</v>
      </c>
      <c r="N649" s="97">
        <v>0.36249999999999999</v>
      </c>
      <c r="O649" s="97">
        <f t="shared" si="451"/>
        <v>1.8125</v>
      </c>
      <c r="P649" s="95">
        <f t="shared" si="452"/>
        <v>135.9375</v>
      </c>
      <c r="Q649" s="98">
        <f t="shared" si="453"/>
        <v>425.9375</v>
      </c>
      <c r="R649" s="119"/>
    </row>
    <row r="650" spans="1:18" x14ac:dyDescent="0.3">
      <c r="A650" s="86" t="str">
        <f>IF(TRIM(H650)&lt;&gt;"",COUNTA(H$9:$H650)&amp;"","")</f>
        <v>465</v>
      </c>
      <c r="B650" s="87" t="s">
        <v>713</v>
      </c>
      <c r="C650" s="87" t="s">
        <v>713</v>
      </c>
      <c r="D650" s="88"/>
      <c r="E650" s="100" t="s">
        <v>755</v>
      </c>
      <c r="F650" s="90">
        <v>2</v>
      </c>
      <c r="H650" s="91" t="s">
        <v>239</v>
      </c>
      <c r="I650" s="92">
        <f t="shared" si="445"/>
        <v>0</v>
      </c>
      <c r="J650" s="93">
        <f t="shared" si="446"/>
        <v>2</v>
      </c>
      <c r="K650" s="94">
        <v>58</v>
      </c>
      <c r="L650" s="95">
        <f t="shared" si="448"/>
        <v>116</v>
      </c>
      <c r="M650" s="96">
        <f t="shared" si="449"/>
        <v>75</v>
      </c>
      <c r="N650" s="97">
        <v>0.36249999999999999</v>
      </c>
      <c r="O650" s="97">
        <f t="shared" si="451"/>
        <v>0.72499999999999998</v>
      </c>
      <c r="P650" s="95">
        <f t="shared" si="452"/>
        <v>54.375</v>
      </c>
      <c r="Q650" s="98">
        <f t="shared" si="453"/>
        <v>170.375</v>
      </c>
      <c r="R650" s="119"/>
    </row>
    <row r="651" spans="1:18" x14ac:dyDescent="0.3">
      <c r="A651" s="86" t="str">
        <f>IF(TRIM(H651)&lt;&gt;"",COUNTA(H$9:$H651)&amp;"","")</f>
        <v>466</v>
      </c>
      <c r="B651" s="87" t="s">
        <v>713</v>
      </c>
      <c r="C651" s="87" t="s">
        <v>713</v>
      </c>
      <c r="D651" s="88"/>
      <c r="E651" s="100" t="s">
        <v>756</v>
      </c>
      <c r="F651" s="90">
        <v>1</v>
      </c>
      <c r="H651" s="91" t="s">
        <v>239</v>
      </c>
      <c r="I651" s="92">
        <f t="shared" si="445"/>
        <v>0</v>
      </c>
      <c r="J651" s="93">
        <f t="shared" si="446"/>
        <v>1</v>
      </c>
      <c r="K651" s="94">
        <v>62</v>
      </c>
      <c r="L651" s="95">
        <f t="shared" si="448"/>
        <v>62</v>
      </c>
      <c r="M651" s="96">
        <f t="shared" si="449"/>
        <v>75</v>
      </c>
      <c r="N651" s="97">
        <v>0.38750000000000001</v>
      </c>
      <c r="O651" s="97">
        <f t="shared" si="451"/>
        <v>0.38750000000000001</v>
      </c>
      <c r="P651" s="95">
        <f t="shared" si="452"/>
        <v>29.0625</v>
      </c>
      <c r="Q651" s="98">
        <f t="shared" si="453"/>
        <v>91.0625</v>
      </c>
      <c r="R651" s="119"/>
    </row>
    <row r="652" spans="1:18" x14ac:dyDescent="0.3">
      <c r="A652" s="86" t="str">
        <f>IF(TRIM(H652)&lt;&gt;"",COUNTA(H$9:$H652)&amp;"","")</f>
        <v>467</v>
      </c>
      <c r="B652" s="87" t="s">
        <v>713</v>
      </c>
      <c r="C652" s="87" t="s">
        <v>713</v>
      </c>
      <c r="D652" s="88"/>
      <c r="E652" s="100" t="s">
        <v>756</v>
      </c>
      <c r="F652" s="90">
        <v>1</v>
      </c>
      <c r="H652" s="91" t="s">
        <v>239</v>
      </c>
      <c r="I652" s="92">
        <f t="shared" si="445"/>
        <v>0</v>
      </c>
      <c r="J652" s="93">
        <f t="shared" si="446"/>
        <v>1</v>
      </c>
      <c r="K652" s="94">
        <v>62</v>
      </c>
      <c r="L652" s="95">
        <f t="shared" si="448"/>
        <v>62</v>
      </c>
      <c r="M652" s="96">
        <f t="shared" si="449"/>
        <v>75</v>
      </c>
      <c r="N652" s="97">
        <v>0.38750000000000001</v>
      </c>
      <c r="O652" s="97">
        <f t="shared" si="451"/>
        <v>0.38750000000000001</v>
      </c>
      <c r="P652" s="95">
        <f t="shared" si="452"/>
        <v>29.0625</v>
      </c>
      <c r="Q652" s="98">
        <f t="shared" si="453"/>
        <v>91.0625</v>
      </c>
      <c r="R652" s="119"/>
    </row>
    <row r="653" spans="1:18" x14ac:dyDescent="0.3">
      <c r="A653" s="86" t="str">
        <f>IF(TRIM(H653)&lt;&gt;"",COUNTA(H$9:$H653)&amp;"","")</f>
        <v>468</v>
      </c>
      <c r="B653" s="87" t="s">
        <v>713</v>
      </c>
      <c r="C653" s="87" t="s">
        <v>713</v>
      </c>
      <c r="D653" s="88"/>
      <c r="E653" s="100" t="s">
        <v>756</v>
      </c>
      <c r="F653" s="90">
        <v>2</v>
      </c>
      <c r="H653" s="91" t="s">
        <v>239</v>
      </c>
      <c r="I653" s="92">
        <f t="shared" si="445"/>
        <v>0</v>
      </c>
      <c r="J653" s="93">
        <f t="shared" si="446"/>
        <v>2</v>
      </c>
      <c r="K653" s="94">
        <v>62</v>
      </c>
      <c r="L653" s="95">
        <f t="shared" si="448"/>
        <v>124</v>
      </c>
      <c r="M653" s="96">
        <f t="shared" si="449"/>
        <v>75</v>
      </c>
      <c r="N653" s="97">
        <v>0.38750000000000001</v>
      </c>
      <c r="O653" s="97">
        <f t="shared" si="451"/>
        <v>0.77500000000000002</v>
      </c>
      <c r="P653" s="95">
        <f t="shared" si="452"/>
        <v>58.125</v>
      </c>
      <c r="Q653" s="98">
        <f t="shared" si="453"/>
        <v>182.125</v>
      </c>
      <c r="R653" s="119"/>
    </row>
    <row r="654" spans="1:18" x14ac:dyDescent="0.3">
      <c r="A654" s="86" t="str">
        <f>IF(TRIM(H654)&lt;&gt;"",COUNTA(H$9:$H654)&amp;"","")</f>
        <v>469</v>
      </c>
      <c r="B654" s="87" t="s">
        <v>713</v>
      </c>
      <c r="C654" s="87" t="s">
        <v>713</v>
      </c>
      <c r="D654" s="88"/>
      <c r="E654" s="100" t="s">
        <v>757</v>
      </c>
      <c r="F654" s="90">
        <v>2</v>
      </c>
      <c r="H654" s="91" t="s">
        <v>239</v>
      </c>
      <c r="I654" s="92">
        <f t="shared" si="445"/>
        <v>0</v>
      </c>
      <c r="J654" s="93">
        <f t="shared" si="446"/>
        <v>2</v>
      </c>
      <c r="K654" s="94">
        <v>68</v>
      </c>
      <c r="L654" s="95">
        <f t="shared" si="448"/>
        <v>136</v>
      </c>
      <c r="M654" s="96">
        <f t="shared" si="449"/>
        <v>75</v>
      </c>
      <c r="N654" s="97">
        <v>0.42499999999999999</v>
      </c>
      <c r="O654" s="97">
        <f t="shared" si="451"/>
        <v>0.85</v>
      </c>
      <c r="P654" s="95">
        <f t="shared" si="452"/>
        <v>63.75</v>
      </c>
      <c r="Q654" s="98">
        <f t="shared" si="453"/>
        <v>199.75</v>
      </c>
      <c r="R654" s="119"/>
    </row>
    <row r="655" spans="1:18" x14ac:dyDescent="0.3">
      <c r="A655" s="86" t="str">
        <f>IF(TRIM(H655)&lt;&gt;"",COUNTA(H$9:$H655)&amp;"","")</f>
        <v>470</v>
      </c>
      <c r="B655" s="87" t="s">
        <v>713</v>
      </c>
      <c r="C655" s="87" t="s">
        <v>713</v>
      </c>
      <c r="D655" s="88"/>
      <c r="E655" s="100" t="s">
        <v>758</v>
      </c>
      <c r="F655" s="90">
        <v>1</v>
      </c>
      <c r="H655" s="91" t="s">
        <v>239</v>
      </c>
      <c r="I655" s="92">
        <f t="shared" si="445"/>
        <v>0</v>
      </c>
      <c r="J655" s="93">
        <f t="shared" si="446"/>
        <v>1</v>
      </c>
      <c r="K655" s="94">
        <v>48.4</v>
      </c>
      <c r="L655" s="95">
        <f t="shared" si="448"/>
        <v>48.4</v>
      </c>
      <c r="M655" s="96">
        <f t="shared" si="449"/>
        <v>75</v>
      </c>
      <c r="N655" s="97">
        <v>0.30250000000000005</v>
      </c>
      <c r="O655" s="97">
        <f t="shared" si="451"/>
        <v>0.30250000000000005</v>
      </c>
      <c r="P655" s="95">
        <f t="shared" si="452"/>
        <v>22.687500000000004</v>
      </c>
      <c r="Q655" s="98">
        <f t="shared" si="453"/>
        <v>71.087500000000006</v>
      </c>
      <c r="R655" s="119"/>
    </row>
    <row r="656" spans="1:18" x14ac:dyDescent="0.3">
      <c r="A656" s="86" t="str">
        <f>IF(TRIM(H656)&lt;&gt;"",COUNTA(H$9:$H656)&amp;"","")</f>
        <v>471</v>
      </c>
      <c r="B656" s="87" t="s">
        <v>713</v>
      </c>
      <c r="C656" s="87" t="s">
        <v>713</v>
      </c>
      <c r="D656" s="88"/>
      <c r="E656" s="100" t="s">
        <v>759</v>
      </c>
      <c r="F656" s="90">
        <v>1</v>
      </c>
      <c r="H656" s="91" t="s">
        <v>239</v>
      </c>
      <c r="I656" s="92">
        <f t="shared" si="445"/>
        <v>0</v>
      </c>
      <c r="J656" s="93">
        <f t="shared" si="446"/>
        <v>1</v>
      </c>
      <c r="K656" s="94">
        <v>66</v>
      </c>
      <c r="L656" s="95">
        <f t="shared" si="448"/>
        <v>66</v>
      </c>
      <c r="M656" s="96">
        <f t="shared" si="449"/>
        <v>75</v>
      </c>
      <c r="N656" s="97">
        <v>0.41249999999999998</v>
      </c>
      <c r="O656" s="97">
        <f t="shared" si="451"/>
        <v>0.41249999999999998</v>
      </c>
      <c r="P656" s="95">
        <f t="shared" si="452"/>
        <v>30.9375</v>
      </c>
      <c r="Q656" s="98">
        <f t="shared" si="453"/>
        <v>96.9375</v>
      </c>
      <c r="R656" s="119"/>
    </row>
    <row r="657" spans="1:18" x14ac:dyDescent="0.3">
      <c r="A657" s="86" t="str">
        <f>IF(TRIM(H657)&lt;&gt;"",COUNTA(H$9:$H657)&amp;"","")</f>
        <v>472</v>
      </c>
      <c r="B657" s="87" t="s">
        <v>713</v>
      </c>
      <c r="C657" s="87" t="s">
        <v>713</v>
      </c>
      <c r="D657" s="88"/>
      <c r="E657" s="100" t="s">
        <v>760</v>
      </c>
      <c r="F657" s="90">
        <v>1</v>
      </c>
      <c r="H657" s="91" t="s">
        <v>239</v>
      </c>
      <c r="I657" s="92">
        <f t="shared" si="445"/>
        <v>0</v>
      </c>
      <c r="J657" s="93">
        <f t="shared" si="446"/>
        <v>1</v>
      </c>
      <c r="K657" s="94">
        <v>80</v>
      </c>
      <c r="L657" s="95">
        <f t="shared" si="448"/>
        <v>80</v>
      </c>
      <c r="M657" s="96">
        <f t="shared" si="449"/>
        <v>75</v>
      </c>
      <c r="N657" s="97">
        <v>0.5</v>
      </c>
      <c r="O657" s="97">
        <f t="shared" si="451"/>
        <v>0.5</v>
      </c>
      <c r="P657" s="95">
        <f t="shared" si="452"/>
        <v>37.5</v>
      </c>
      <c r="Q657" s="98">
        <f t="shared" si="453"/>
        <v>117.5</v>
      </c>
      <c r="R657" s="119"/>
    </row>
    <row r="658" spans="1:18" x14ac:dyDescent="0.3">
      <c r="A658" s="86" t="str">
        <f>IF(TRIM(H658)&lt;&gt;"",COUNTA(H$9:$H658)&amp;"","")</f>
        <v>473</v>
      </c>
      <c r="B658" s="87" t="s">
        <v>713</v>
      </c>
      <c r="C658" s="87" t="s">
        <v>713</v>
      </c>
      <c r="D658" s="88"/>
      <c r="E658" s="100" t="s">
        <v>761</v>
      </c>
      <c r="F658" s="90">
        <v>1</v>
      </c>
      <c r="H658" s="91" t="s">
        <v>239</v>
      </c>
      <c r="I658" s="92">
        <f t="shared" si="445"/>
        <v>0</v>
      </c>
      <c r="J658" s="93">
        <f t="shared" si="446"/>
        <v>1</v>
      </c>
      <c r="K658" s="94">
        <v>84</v>
      </c>
      <c r="L658" s="95">
        <f t="shared" si="448"/>
        <v>84</v>
      </c>
      <c r="M658" s="96">
        <f t="shared" si="449"/>
        <v>75</v>
      </c>
      <c r="N658" s="97">
        <v>0.52500000000000002</v>
      </c>
      <c r="O658" s="97">
        <f t="shared" si="451"/>
        <v>0.52500000000000002</v>
      </c>
      <c r="P658" s="95">
        <f t="shared" si="452"/>
        <v>39.375</v>
      </c>
      <c r="Q658" s="98">
        <f t="shared" si="453"/>
        <v>123.375</v>
      </c>
      <c r="R658" s="119"/>
    </row>
    <row r="659" spans="1:18" x14ac:dyDescent="0.3">
      <c r="A659" s="86" t="str">
        <f>IF(TRIM(H659)&lt;&gt;"",COUNTA(H$9:$H659)&amp;"","")</f>
        <v>474</v>
      </c>
      <c r="B659" s="87" t="s">
        <v>713</v>
      </c>
      <c r="C659" s="87" t="s">
        <v>713</v>
      </c>
      <c r="D659" s="88"/>
      <c r="E659" s="100" t="s">
        <v>762</v>
      </c>
      <c r="F659" s="90">
        <v>1</v>
      </c>
      <c r="H659" s="91" t="s">
        <v>239</v>
      </c>
      <c r="I659" s="92">
        <f t="shared" si="445"/>
        <v>0</v>
      </c>
      <c r="J659" s="93">
        <f t="shared" si="446"/>
        <v>1</v>
      </c>
      <c r="K659" s="94">
        <v>62</v>
      </c>
      <c r="L659" s="95">
        <f t="shared" si="448"/>
        <v>62</v>
      </c>
      <c r="M659" s="96">
        <f t="shared" si="449"/>
        <v>75</v>
      </c>
      <c r="N659" s="97">
        <v>0.38750000000000001</v>
      </c>
      <c r="O659" s="97">
        <f t="shared" si="451"/>
        <v>0.38750000000000001</v>
      </c>
      <c r="P659" s="95">
        <f t="shared" si="452"/>
        <v>29.0625</v>
      </c>
      <c r="Q659" s="98">
        <f t="shared" si="453"/>
        <v>91.0625</v>
      </c>
      <c r="R659" s="119"/>
    </row>
    <row r="660" spans="1:18" x14ac:dyDescent="0.3">
      <c r="A660" s="86" t="str">
        <f>IF(TRIM(H660)&lt;&gt;"",COUNTA(H$9:$H660)&amp;"","")</f>
        <v>475</v>
      </c>
      <c r="B660" s="87" t="s">
        <v>713</v>
      </c>
      <c r="C660" s="87" t="s">
        <v>713</v>
      </c>
      <c r="D660" s="88"/>
      <c r="E660" s="100" t="s">
        <v>763</v>
      </c>
      <c r="F660" s="90">
        <v>1</v>
      </c>
      <c r="H660" s="91" t="s">
        <v>239</v>
      </c>
      <c r="I660" s="92">
        <f t="shared" si="445"/>
        <v>0</v>
      </c>
      <c r="J660" s="93">
        <f t="shared" si="446"/>
        <v>1</v>
      </c>
      <c r="K660" s="94">
        <v>65.599999999999994</v>
      </c>
      <c r="L660" s="95">
        <f t="shared" si="448"/>
        <v>65.599999999999994</v>
      </c>
      <c r="M660" s="96">
        <f t="shared" si="449"/>
        <v>75</v>
      </c>
      <c r="N660" s="97">
        <v>0.41000000000000003</v>
      </c>
      <c r="O660" s="97">
        <f t="shared" si="451"/>
        <v>0.41000000000000003</v>
      </c>
      <c r="P660" s="95">
        <f t="shared" si="452"/>
        <v>30.750000000000004</v>
      </c>
      <c r="Q660" s="98">
        <f t="shared" si="453"/>
        <v>96.35</v>
      </c>
      <c r="R660" s="119"/>
    </row>
    <row r="661" spans="1:18" x14ac:dyDescent="0.3">
      <c r="A661" s="86" t="str">
        <f>IF(TRIM(H661)&lt;&gt;"",COUNTA(H$9:$H661)&amp;"","")</f>
        <v>476</v>
      </c>
      <c r="B661" s="87" t="s">
        <v>713</v>
      </c>
      <c r="C661" s="87" t="s">
        <v>713</v>
      </c>
      <c r="D661" s="88"/>
      <c r="E661" s="100" t="s">
        <v>764</v>
      </c>
      <c r="F661" s="90">
        <v>1</v>
      </c>
      <c r="H661" s="91" t="s">
        <v>239</v>
      </c>
      <c r="I661" s="92">
        <f t="shared" si="445"/>
        <v>0</v>
      </c>
      <c r="J661" s="93">
        <f t="shared" si="446"/>
        <v>1</v>
      </c>
      <c r="K661" s="94">
        <v>69.2</v>
      </c>
      <c r="L661" s="95">
        <f t="shared" si="448"/>
        <v>69.2</v>
      </c>
      <c r="M661" s="96">
        <f t="shared" si="449"/>
        <v>75</v>
      </c>
      <c r="N661" s="97">
        <v>0.4325</v>
      </c>
      <c r="O661" s="97">
        <f t="shared" si="451"/>
        <v>0.4325</v>
      </c>
      <c r="P661" s="95">
        <f t="shared" si="452"/>
        <v>32.4375</v>
      </c>
      <c r="Q661" s="98">
        <f t="shared" si="453"/>
        <v>101.6375</v>
      </c>
      <c r="R661" s="119"/>
    </row>
    <row r="662" spans="1:18" x14ac:dyDescent="0.3">
      <c r="A662" s="86" t="str">
        <f>IF(TRIM(H662)&lt;&gt;"",COUNTA(H$9:$H662)&amp;"","")</f>
        <v>477</v>
      </c>
      <c r="B662" s="87" t="s">
        <v>713</v>
      </c>
      <c r="C662" s="87" t="s">
        <v>713</v>
      </c>
      <c r="D662" s="88"/>
      <c r="E662" s="100" t="s">
        <v>765</v>
      </c>
      <c r="F662" s="90">
        <v>1</v>
      </c>
      <c r="H662" s="91" t="s">
        <v>239</v>
      </c>
      <c r="I662" s="92">
        <f t="shared" si="445"/>
        <v>0</v>
      </c>
      <c r="J662" s="93">
        <f t="shared" si="446"/>
        <v>1</v>
      </c>
      <c r="K662" s="94">
        <v>74</v>
      </c>
      <c r="L662" s="95">
        <f t="shared" si="448"/>
        <v>74</v>
      </c>
      <c r="M662" s="96">
        <f t="shared" si="449"/>
        <v>75</v>
      </c>
      <c r="N662" s="97">
        <v>0.46250000000000002</v>
      </c>
      <c r="O662" s="97">
        <f t="shared" si="451"/>
        <v>0.46250000000000002</v>
      </c>
      <c r="P662" s="95">
        <f t="shared" si="452"/>
        <v>34.6875</v>
      </c>
      <c r="Q662" s="98">
        <f t="shared" si="453"/>
        <v>108.6875</v>
      </c>
      <c r="R662" s="119"/>
    </row>
    <row r="663" spans="1:18" x14ac:dyDescent="0.3">
      <c r="A663" s="86" t="str">
        <f>IF(TRIM(H663)&lt;&gt;"",COUNTA(H$9:$H663)&amp;"","")</f>
        <v>478</v>
      </c>
      <c r="B663" s="87" t="s">
        <v>713</v>
      </c>
      <c r="C663" s="87" t="s">
        <v>713</v>
      </c>
      <c r="D663" s="88"/>
      <c r="E663" s="100" t="s">
        <v>766</v>
      </c>
      <c r="F663" s="90">
        <v>2</v>
      </c>
      <c r="H663" s="91" t="s">
        <v>239</v>
      </c>
      <c r="I663" s="92">
        <f t="shared" si="445"/>
        <v>0</v>
      </c>
      <c r="J663" s="93">
        <f t="shared" si="446"/>
        <v>2</v>
      </c>
      <c r="K663" s="94">
        <v>78</v>
      </c>
      <c r="L663" s="95">
        <f t="shared" si="448"/>
        <v>156</v>
      </c>
      <c r="M663" s="96">
        <f t="shared" si="449"/>
        <v>75</v>
      </c>
      <c r="N663" s="97">
        <v>0.48749999999999999</v>
      </c>
      <c r="O663" s="97">
        <f t="shared" si="451"/>
        <v>0.97499999999999998</v>
      </c>
      <c r="P663" s="95">
        <f t="shared" si="452"/>
        <v>73.125</v>
      </c>
      <c r="Q663" s="98">
        <f t="shared" si="453"/>
        <v>229.125</v>
      </c>
      <c r="R663" s="119"/>
    </row>
    <row r="664" spans="1:18" x14ac:dyDescent="0.3">
      <c r="A664" s="86" t="str">
        <f>IF(TRIM(H664)&lt;&gt;"",COUNTA(H$9:$H664)&amp;"","")</f>
        <v>479</v>
      </c>
      <c r="B664" s="87" t="s">
        <v>713</v>
      </c>
      <c r="C664" s="87" t="s">
        <v>713</v>
      </c>
      <c r="D664" s="88"/>
      <c r="E664" s="100" t="s">
        <v>767</v>
      </c>
      <c r="F664" s="90">
        <v>2</v>
      </c>
      <c r="H664" s="91" t="s">
        <v>239</v>
      </c>
      <c r="I664" s="92">
        <f t="shared" si="445"/>
        <v>0</v>
      </c>
      <c r="J664" s="93">
        <f t="shared" si="446"/>
        <v>2</v>
      </c>
      <c r="K664" s="94">
        <v>42.4</v>
      </c>
      <c r="L664" s="95">
        <f t="shared" si="448"/>
        <v>84.8</v>
      </c>
      <c r="M664" s="96">
        <f t="shared" si="449"/>
        <v>75</v>
      </c>
      <c r="N664" s="97">
        <v>0.26500000000000001</v>
      </c>
      <c r="O664" s="97">
        <f t="shared" si="451"/>
        <v>0.53</v>
      </c>
      <c r="P664" s="95">
        <f t="shared" si="452"/>
        <v>39.75</v>
      </c>
      <c r="Q664" s="98">
        <f t="shared" si="453"/>
        <v>124.55</v>
      </c>
      <c r="R664" s="119"/>
    </row>
    <row r="665" spans="1:18" x14ac:dyDescent="0.3">
      <c r="A665" s="86" t="str">
        <f>IF(TRIM(H665)&lt;&gt;"",COUNTA(H$9:$H665)&amp;"","")</f>
        <v>480</v>
      </c>
      <c r="B665" s="87" t="s">
        <v>713</v>
      </c>
      <c r="C665" s="87" t="s">
        <v>713</v>
      </c>
      <c r="D665" s="88"/>
      <c r="E665" s="100" t="s">
        <v>768</v>
      </c>
      <c r="F665" s="90">
        <v>1</v>
      </c>
      <c r="H665" s="91" t="s">
        <v>239</v>
      </c>
      <c r="I665" s="92">
        <f t="shared" si="445"/>
        <v>0</v>
      </c>
      <c r="J665" s="93">
        <f t="shared" si="446"/>
        <v>1</v>
      </c>
      <c r="K665" s="94">
        <v>48.4</v>
      </c>
      <c r="L665" s="95">
        <f t="shared" si="448"/>
        <v>48.4</v>
      </c>
      <c r="M665" s="96">
        <f t="shared" si="449"/>
        <v>75</v>
      </c>
      <c r="N665" s="97">
        <v>0.30250000000000005</v>
      </c>
      <c r="O665" s="97">
        <f t="shared" si="451"/>
        <v>0.30250000000000005</v>
      </c>
      <c r="P665" s="95">
        <f t="shared" si="452"/>
        <v>22.687500000000004</v>
      </c>
      <c r="Q665" s="98">
        <f t="shared" si="453"/>
        <v>71.087500000000006</v>
      </c>
      <c r="R665" s="119"/>
    </row>
    <row r="666" spans="1:18" x14ac:dyDescent="0.3">
      <c r="A666" s="86" t="str">
        <f>IF(TRIM(H666)&lt;&gt;"",COUNTA(H$9:$H666)&amp;"","")</f>
        <v>481</v>
      </c>
      <c r="B666" s="87" t="s">
        <v>713</v>
      </c>
      <c r="C666" s="87" t="s">
        <v>713</v>
      </c>
      <c r="D666" s="88"/>
      <c r="E666" s="100" t="s">
        <v>769</v>
      </c>
      <c r="F666" s="90">
        <v>2</v>
      </c>
      <c r="H666" s="91" t="s">
        <v>239</v>
      </c>
      <c r="I666" s="92">
        <f t="shared" si="445"/>
        <v>0</v>
      </c>
      <c r="J666" s="93">
        <f t="shared" si="446"/>
        <v>2</v>
      </c>
      <c r="K666" s="94">
        <v>52</v>
      </c>
      <c r="L666" s="95">
        <f t="shared" si="448"/>
        <v>104</v>
      </c>
      <c r="M666" s="96">
        <f t="shared" si="449"/>
        <v>75</v>
      </c>
      <c r="N666" s="97">
        <v>0.32500000000000001</v>
      </c>
      <c r="O666" s="97">
        <f t="shared" si="451"/>
        <v>0.65</v>
      </c>
      <c r="P666" s="95">
        <f t="shared" si="452"/>
        <v>48.75</v>
      </c>
      <c r="Q666" s="98">
        <f t="shared" si="453"/>
        <v>152.75</v>
      </c>
      <c r="R666" s="119"/>
    </row>
    <row r="667" spans="1:18" x14ac:dyDescent="0.3">
      <c r="A667" s="86" t="str">
        <f>IF(TRIM(H667)&lt;&gt;"",COUNTA(H$9:$H667)&amp;"","")</f>
        <v>482</v>
      </c>
      <c r="B667" s="87" t="s">
        <v>713</v>
      </c>
      <c r="C667" s="87" t="s">
        <v>713</v>
      </c>
      <c r="D667" s="88"/>
      <c r="E667" s="100" t="s">
        <v>770</v>
      </c>
      <c r="F667" s="90">
        <v>1</v>
      </c>
      <c r="H667" s="91" t="s">
        <v>239</v>
      </c>
      <c r="I667" s="92">
        <f t="shared" si="445"/>
        <v>0</v>
      </c>
      <c r="J667" s="93">
        <f t="shared" si="446"/>
        <v>1</v>
      </c>
      <c r="K667" s="94">
        <v>59.2</v>
      </c>
      <c r="L667" s="95">
        <f t="shared" si="448"/>
        <v>59.2</v>
      </c>
      <c r="M667" s="96">
        <f t="shared" si="449"/>
        <v>75</v>
      </c>
      <c r="N667" s="97">
        <v>0.37</v>
      </c>
      <c r="O667" s="97">
        <f t="shared" si="451"/>
        <v>0.37</v>
      </c>
      <c r="P667" s="95">
        <f t="shared" si="452"/>
        <v>27.75</v>
      </c>
      <c r="Q667" s="98">
        <f t="shared" si="453"/>
        <v>86.95</v>
      </c>
      <c r="R667" s="119"/>
    </row>
    <row r="668" spans="1:18" x14ac:dyDescent="0.3">
      <c r="A668" s="86" t="str">
        <f>IF(TRIM(H668)&lt;&gt;"",COUNTA(H$9:$H668)&amp;"","")</f>
        <v>483</v>
      </c>
      <c r="B668" s="87" t="s">
        <v>713</v>
      </c>
      <c r="C668" s="87" t="s">
        <v>713</v>
      </c>
      <c r="D668" s="88"/>
      <c r="E668" s="100" t="s">
        <v>771</v>
      </c>
      <c r="F668" s="90">
        <v>1</v>
      </c>
      <c r="H668" s="91" t="s">
        <v>239</v>
      </c>
      <c r="I668" s="92">
        <f t="shared" si="445"/>
        <v>0</v>
      </c>
      <c r="J668" s="93">
        <f t="shared" si="446"/>
        <v>1</v>
      </c>
      <c r="K668" s="94">
        <v>59.2</v>
      </c>
      <c r="L668" s="95">
        <f t="shared" si="448"/>
        <v>59.2</v>
      </c>
      <c r="M668" s="96">
        <f t="shared" si="449"/>
        <v>75</v>
      </c>
      <c r="N668" s="97">
        <v>0.37</v>
      </c>
      <c r="O668" s="97">
        <f t="shared" si="451"/>
        <v>0.37</v>
      </c>
      <c r="P668" s="95">
        <f t="shared" si="452"/>
        <v>27.75</v>
      </c>
      <c r="Q668" s="98">
        <f t="shared" si="453"/>
        <v>86.95</v>
      </c>
      <c r="R668" s="119"/>
    </row>
    <row r="669" spans="1:18" x14ac:dyDescent="0.3">
      <c r="A669" s="86" t="str">
        <f>IF(TRIM(H669)&lt;&gt;"",COUNTA(H$9:$H669)&amp;"","")</f>
        <v>484</v>
      </c>
      <c r="B669" s="87" t="s">
        <v>713</v>
      </c>
      <c r="C669" s="87" t="s">
        <v>713</v>
      </c>
      <c r="D669" s="88"/>
      <c r="E669" s="100" t="s">
        <v>772</v>
      </c>
      <c r="F669" s="90">
        <v>1</v>
      </c>
      <c r="H669" s="91" t="s">
        <v>239</v>
      </c>
      <c r="I669" s="92">
        <f t="shared" si="445"/>
        <v>0</v>
      </c>
      <c r="J669" s="93">
        <f t="shared" si="446"/>
        <v>1</v>
      </c>
      <c r="K669" s="94">
        <v>88</v>
      </c>
      <c r="L669" s="95">
        <f t="shared" si="448"/>
        <v>88</v>
      </c>
      <c r="M669" s="96">
        <f t="shared" si="449"/>
        <v>75</v>
      </c>
      <c r="N669" s="97">
        <v>0.55000000000000004</v>
      </c>
      <c r="O669" s="97">
        <f t="shared" si="451"/>
        <v>0.55000000000000004</v>
      </c>
      <c r="P669" s="95">
        <f t="shared" si="452"/>
        <v>41.25</v>
      </c>
      <c r="Q669" s="98">
        <f t="shared" si="453"/>
        <v>129.25</v>
      </c>
      <c r="R669" s="119"/>
    </row>
    <row r="670" spans="1:18" x14ac:dyDescent="0.3">
      <c r="A670" s="86" t="str">
        <f>IF(TRIM(H670)&lt;&gt;"",COUNTA(H$9:$H670)&amp;"","")</f>
        <v/>
      </c>
      <c r="B670" s="87"/>
      <c r="C670" s="87"/>
      <c r="D670" s="88"/>
      <c r="E670" s="160"/>
      <c r="F670" s="90"/>
      <c r="H670" s="91"/>
      <c r="I670" s="92"/>
      <c r="J670" s="93"/>
      <c r="K670" s="94" t="s">
        <v>549</v>
      </c>
      <c r="L670" s="95"/>
      <c r="M670" s="96"/>
      <c r="N670" s="97" t="s">
        <v>549</v>
      </c>
      <c r="O670" s="97"/>
      <c r="P670" s="95"/>
      <c r="Q670" s="98"/>
      <c r="R670" s="119"/>
    </row>
    <row r="671" spans="1:18" ht="15.6" x14ac:dyDescent="0.3">
      <c r="A671" s="86" t="str">
        <f>IF(TRIM(H671)&lt;&gt;"",COUNTA(H$9:$H671)&amp;"","")</f>
        <v/>
      </c>
      <c r="B671" s="87"/>
      <c r="C671" s="87"/>
      <c r="D671" s="88"/>
      <c r="E671" s="164" t="s">
        <v>773</v>
      </c>
      <c r="F671" s="90"/>
      <c r="H671" s="91"/>
      <c r="I671" s="92" t="str">
        <f t="shared" si="445"/>
        <v/>
      </c>
      <c r="J671" s="93" t="str">
        <f t="shared" si="446"/>
        <v/>
      </c>
      <c r="K671" s="94" t="s">
        <v>549</v>
      </c>
      <c r="L671" s="95" t="str">
        <f t="shared" si="448"/>
        <v/>
      </c>
      <c r="M671" s="96" t="str">
        <f t="shared" si="449"/>
        <v/>
      </c>
      <c r="N671" s="97" t="s">
        <v>549</v>
      </c>
      <c r="O671" s="97" t="str">
        <f t="shared" si="451"/>
        <v/>
      </c>
      <c r="P671" s="95" t="str">
        <f t="shared" si="452"/>
        <v/>
      </c>
      <c r="Q671" s="98" t="str">
        <f t="shared" si="453"/>
        <v/>
      </c>
      <c r="R671" s="119"/>
    </row>
    <row r="672" spans="1:18" x14ac:dyDescent="0.3">
      <c r="A672" s="86" t="str">
        <f>IF(TRIM(H672)&lt;&gt;"",COUNTA(H$9:$H672)&amp;"","")</f>
        <v>485</v>
      </c>
      <c r="B672" s="87" t="s">
        <v>713</v>
      </c>
      <c r="C672" s="87" t="s">
        <v>774</v>
      </c>
      <c r="D672" s="88"/>
      <c r="E672" s="100" t="s">
        <v>775</v>
      </c>
      <c r="F672" s="90">
        <v>1</v>
      </c>
      <c r="H672" s="91" t="s">
        <v>239</v>
      </c>
      <c r="I672" s="92">
        <f t="shared" si="445"/>
        <v>0</v>
      </c>
      <c r="J672" s="93">
        <f t="shared" si="446"/>
        <v>1</v>
      </c>
      <c r="K672" s="94">
        <v>100</v>
      </c>
      <c r="L672" s="95">
        <f t="shared" si="448"/>
        <v>100</v>
      </c>
      <c r="M672" s="96">
        <f t="shared" si="449"/>
        <v>75</v>
      </c>
      <c r="N672" s="97">
        <v>0.625</v>
      </c>
      <c r="O672" s="97">
        <f t="shared" si="451"/>
        <v>0.625</v>
      </c>
      <c r="P672" s="95">
        <f t="shared" si="452"/>
        <v>46.875</v>
      </c>
      <c r="Q672" s="98">
        <f t="shared" si="453"/>
        <v>146.875</v>
      </c>
      <c r="R672" s="119"/>
    </row>
    <row r="673" spans="1:18" x14ac:dyDescent="0.3">
      <c r="A673" s="86" t="str">
        <f>IF(TRIM(H673)&lt;&gt;"",COUNTA(H$9:$H673)&amp;"","")</f>
        <v>486</v>
      </c>
      <c r="B673" s="87" t="s">
        <v>713</v>
      </c>
      <c r="C673" s="87" t="s">
        <v>774</v>
      </c>
      <c r="D673" s="88"/>
      <c r="E673" s="100" t="s">
        <v>776</v>
      </c>
      <c r="F673" s="90">
        <v>1</v>
      </c>
      <c r="H673" s="91" t="s">
        <v>239</v>
      </c>
      <c r="I673" s="92">
        <f t="shared" si="445"/>
        <v>0</v>
      </c>
      <c r="J673" s="93">
        <f t="shared" si="446"/>
        <v>1</v>
      </c>
      <c r="K673" s="94">
        <v>120</v>
      </c>
      <c r="L673" s="95">
        <f t="shared" si="448"/>
        <v>120</v>
      </c>
      <c r="M673" s="96">
        <f t="shared" si="449"/>
        <v>75</v>
      </c>
      <c r="N673" s="97">
        <v>0.75</v>
      </c>
      <c r="O673" s="97">
        <f t="shared" si="451"/>
        <v>0.75</v>
      </c>
      <c r="P673" s="95">
        <f t="shared" si="452"/>
        <v>56.25</v>
      </c>
      <c r="Q673" s="98">
        <f t="shared" si="453"/>
        <v>176.25</v>
      </c>
      <c r="R673" s="119"/>
    </row>
    <row r="674" spans="1:18" x14ac:dyDescent="0.3">
      <c r="A674" s="86" t="str">
        <f>IF(TRIM(H674)&lt;&gt;"",COUNTA(H$9:$H674)&amp;"","")</f>
        <v>487</v>
      </c>
      <c r="B674" s="87" t="s">
        <v>713</v>
      </c>
      <c r="C674" s="87" t="s">
        <v>774</v>
      </c>
      <c r="D674" s="88"/>
      <c r="E674" s="100" t="s">
        <v>777</v>
      </c>
      <c r="F674" s="90">
        <v>2</v>
      </c>
      <c r="H674" s="91" t="s">
        <v>239</v>
      </c>
      <c r="I674" s="92">
        <f t="shared" si="445"/>
        <v>0</v>
      </c>
      <c r="J674" s="93">
        <f t="shared" si="446"/>
        <v>2</v>
      </c>
      <c r="K674" s="94">
        <v>128</v>
      </c>
      <c r="L674" s="95">
        <f t="shared" si="448"/>
        <v>256</v>
      </c>
      <c r="M674" s="96">
        <f t="shared" si="449"/>
        <v>75</v>
      </c>
      <c r="N674" s="97">
        <v>0.8</v>
      </c>
      <c r="O674" s="97">
        <f t="shared" si="451"/>
        <v>1.6</v>
      </c>
      <c r="P674" s="95">
        <f t="shared" si="452"/>
        <v>120</v>
      </c>
      <c r="Q674" s="98">
        <f t="shared" si="453"/>
        <v>376</v>
      </c>
      <c r="R674" s="119"/>
    </row>
    <row r="675" spans="1:18" x14ac:dyDescent="0.3">
      <c r="A675" s="86" t="str">
        <f>IF(TRIM(H675)&lt;&gt;"",COUNTA(H$9:$H675)&amp;"","")</f>
        <v>488</v>
      </c>
      <c r="B675" s="87" t="s">
        <v>713</v>
      </c>
      <c r="C675" s="87" t="s">
        <v>774</v>
      </c>
      <c r="D675" s="88"/>
      <c r="E675" s="100" t="s">
        <v>778</v>
      </c>
      <c r="F675" s="90">
        <v>2</v>
      </c>
      <c r="H675" s="91" t="s">
        <v>239</v>
      </c>
      <c r="I675" s="92">
        <f t="shared" si="445"/>
        <v>0</v>
      </c>
      <c r="J675" s="93">
        <f t="shared" si="446"/>
        <v>2</v>
      </c>
      <c r="K675" s="94">
        <v>120</v>
      </c>
      <c r="L675" s="95">
        <f t="shared" si="448"/>
        <v>240</v>
      </c>
      <c r="M675" s="96">
        <f t="shared" si="449"/>
        <v>75</v>
      </c>
      <c r="N675" s="97">
        <v>0.75</v>
      </c>
      <c r="O675" s="97">
        <f t="shared" si="451"/>
        <v>1.5</v>
      </c>
      <c r="P675" s="95">
        <f t="shared" si="452"/>
        <v>112.5</v>
      </c>
      <c r="Q675" s="98">
        <f t="shared" si="453"/>
        <v>352.5</v>
      </c>
      <c r="R675" s="119"/>
    </row>
    <row r="676" spans="1:18" x14ac:dyDescent="0.3">
      <c r="A676" s="86" t="str">
        <f>IF(TRIM(H676)&lt;&gt;"",COUNTA(H$9:$H676)&amp;"","")</f>
        <v>489</v>
      </c>
      <c r="B676" s="87" t="s">
        <v>713</v>
      </c>
      <c r="C676" s="87" t="s">
        <v>774</v>
      </c>
      <c r="D676" s="88"/>
      <c r="E676" s="100" t="s">
        <v>779</v>
      </c>
      <c r="F676" s="90">
        <v>2</v>
      </c>
      <c r="H676" s="91" t="s">
        <v>239</v>
      </c>
      <c r="I676" s="92">
        <f t="shared" si="445"/>
        <v>0</v>
      </c>
      <c r="J676" s="93">
        <f t="shared" si="446"/>
        <v>2</v>
      </c>
      <c r="K676" s="94">
        <v>128</v>
      </c>
      <c r="L676" s="95">
        <f t="shared" si="448"/>
        <v>256</v>
      </c>
      <c r="M676" s="96">
        <f t="shared" si="449"/>
        <v>75</v>
      </c>
      <c r="N676" s="97">
        <v>0.8</v>
      </c>
      <c r="O676" s="97">
        <f t="shared" si="451"/>
        <v>1.6</v>
      </c>
      <c r="P676" s="95">
        <f t="shared" si="452"/>
        <v>120</v>
      </c>
      <c r="Q676" s="98">
        <f t="shared" si="453"/>
        <v>376</v>
      </c>
      <c r="R676" s="119"/>
    </row>
    <row r="677" spans="1:18" x14ac:dyDescent="0.3">
      <c r="A677" s="86" t="str">
        <f>IF(TRIM(H677)&lt;&gt;"",COUNTA(H$9:$H677)&amp;"","")</f>
        <v>490</v>
      </c>
      <c r="B677" s="87" t="s">
        <v>713</v>
      </c>
      <c r="C677" s="87" t="s">
        <v>774</v>
      </c>
      <c r="D677" s="88"/>
      <c r="E677" s="100" t="s">
        <v>780</v>
      </c>
      <c r="F677" s="90">
        <v>4</v>
      </c>
      <c r="H677" s="91" t="s">
        <v>239</v>
      </c>
      <c r="I677" s="92">
        <f t="shared" si="445"/>
        <v>0</v>
      </c>
      <c r="J677" s="93">
        <f t="shared" si="446"/>
        <v>4</v>
      </c>
      <c r="K677" s="94">
        <v>140</v>
      </c>
      <c r="L677" s="95">
        <f t="shared" si="448"/>
        <v>560</v>
      </c>
      <c r="M677" s="96">
        <f t="shared" si="449"/>
        <v>75</v>
      </c>
      <c r="N677" s="97">
        <v>0.875</v>
      </c>
      <c r="O677" s="97">
        <f t="shared" si="451"/>
        <v>3.5</v>
      </c>
      <c r="P677" s="95">
        <f t="shared" si="452"/>
        <v>262.5</v>
      </c>
      <c r="Q677" s="98">
        <f t="shared" si="453"/>
        <v>822.5</v>
      </c>
      <c r="R677" s="119"/>
    </row>
    <row r="678" spans="1:18" x14ac:dyDescent="0.3">
      <c r="A678" s="86" t="str">
        <f>IF(TRIM(H678)&lt;&gt;"",COUNTA(H$9:$H678)&amp;"","")</f>
        <v>491</v>
      </c>
      <c r="B678" s="87" t="s">
        <v>713</v>
      </c>
      <c r="C678" s="87" t="s">
        <v>774</v>
      </c>
      <c r="D678" s="88"/>
      <c r="E678" s="100" t="s">
        <v>781</v>
      </c>
      <c r="F678" s="90">
        <v>1</v>
      </c>
      <c r="H678" s="91" t="s">
        <v>239</v>
      </c>
      <c r="I678" s="92">
        <f t="shared" si="445"/>
        <v>0</v>
      </c>
      <c r="J678" s="93">
        <f t="shared" si="446"/>
        <v>1</v>
      </c>
      <c r="K678" s="94">
        <v>120</v>
      </c>
      <c r="L678" s="95">
        <f t="shared" si="448"/>
        <v>120</v>
      </c>
      <c r="M678" s="96">
        <f t="shared" si="449"/>
        <v>75</v>
      </c>
      <c r="N678" s="97">
        <v>0.75</v>
      </c>
      <c r="O678" s="97">
        <f t="shared" si="451"/>
        <v>0.75</v>
      </c>
      <c r="P678" s="95">
        <f t="shared" si="452"/>
        <v>56.25</v>
      </c>
      <c r="Q678" s="98">
        <f t="shared" si="453"/>
        <v>176.25</v>
      </c>
      <c r="R678" s="119"/>
    </row>
    <row r="679" spans="1:18" x14ac:dyDescent="0.3">
      <c r="A679" s="86" t="str">
        <f>IF(TRIM(H679)&lt;&gt;"",COUNTA(H$9:$H679)&amp;"","")</f>
        <v>492</v>
      </c>
      <c r="B679" s="87" t="s">
        <v>713</v>
      </c>
      <c r="C679" s="87" t="s">
        <v>774</v>
      </c>
      <c r="D679" s="88"/>
      <c r="E679" s="100" t="s">
        <v>782</v>
      </c>
      <c r="F679" s="90">
        <v>3</v>
      </c>
      <c r="H679" s="91" t="s">
        <v>239</v>
      </c>
      <c r="I679" s="92">
        <f t="shared" si="445"/>
        <v>0</v>
      </c>
      <c r="J679" s="93">
        <f t="shared" si="446"/>
        <v>3</v>
      </c>
      <c r="K679" s="94">
        <v>132</v>
      </c>
      <c r="L679" s="95">
        <f t="shared" si="448"/>
        <v>396</v>
      </c>
      <c r="M679" s="96">
        <f t="shared" si="449"/>
        <v>75</v>
      </c>
      <c r="N679" s="97">
        <v>0.82499999999999996</v>
      </c>
      <c r="O679" s="97">
        <f t="shared" si="451"/>
        <v>2.4749999999999996</v>
      </c>
      <c r="P679" s="95">
        <f t="shared" si="452"/>
        <v>185.62499999999997</v>
      </c>
      <c r="Q679" s="98">
        <f t="shared" si="453"/>
        <v>581.625</v>
      </c>
      <c r="R679" s="119"/>
    </row>
    <row r="680" spans="1:18" x14ac:dyDescent="0.3">
      <c r="A680" s="86" t="str">
        <f>IF(TRIM(H680)&lt;&gt;"",COUNTA(H$9:$H680)&amp;"","")</f>
        <v>493</v>
      </c>
      <c r="B680" s="87" t="s">
        <v>713</v>
      </c>
      <c r="C680" s="87" t="s">
        <v>774</v>
      </c>
      <c r="D680" s="88"/>
      <c r="E680" s="100" t="s">
        <v>783</v>
      </c>
      <c r="F680" s="90">
        <v>1</v>
      </c>
      <c r="H680" s="91" t="s">
        <v>239</v>
      </c>
      <c r="I680" s="92">
        <f t="shared" si="445"/>
        <v>0</v>
      </c>
      <c r="J680" s="93">
        <f t="shared" si="446"/>
        <v>1</v>
      </c>
      <c r="K680" s="94">
        <v>108</v>
      </c>
      <c r="L680" s="95">
        <f t="shared" si="448"/>
        <v>108</v>
      </c>
      <c r="M680" s="96">
        <f t="shared" si="449"/>
        <v>75</v>
      </c>
      <c r="N680" s="97">
        <v>0.67500000000000004</v>
      </c>
      <c r="O680" s="97">
        <f t="shared" si="451"/>
        <v>0.67500000000000004</v>
      </c>
      <c r="P680" s="95">
        <f t="shared" si="452"/>
        <v>50.625</v>
      </c>
      <c r="Q680" s="98">
        <f t="shared" si="453"/>
        <v>158.625</v>
      </c>
      <c r="R680" s="119"/>
    </row>
    <row r="681" spans="1:18" x14ac:dyDescent="0.3">
      <c r="A681" s="86" t="str">
        <f>IF(TRIM(H681)&lt;&gt;"",COUNTA(H$9:$H681)&amp;"","")</f>
        <v>494</v>
      </c>
      <c r="B681" s="87" t="s">
        <v>713</v>
      </c>
      <c r="C681" s="87" t="s">
        <v>774</v>
      </c>
      <c r="D681" s="88"/>
      <c r="E681" s="100" t="s">
        <v>784</v>
      </c>
      <c r="F681" s="90">
        <v>2</v>
      </c>
      <c r="H681" s="91" t="s">
        <v>239</v>
      </c>
      <c r="I681" s="92">
        <f t="shared" si="445"/>
        <v>0</v>
      </c>
      <c r="J681" s="93">
        <f t="shared" si="446"/>
        <v>2</v>
      </c>
      <c r="K681" s="94">
        <v>112</v>
      </c>
      <c r="L681" s="95">
        <f t="shared" si="448"/>
        <v>224</v>
      </c>
      <c r="M681" s="96">
        <f t="shared" si="449"/>
        <v>75</v>
      </c>
      <c r="N681" s="97">
        <v>0.7</v>
      </c>
      <c r="O681" s="97">
        <f t="shared" si="451"/>
        <v>1.4</v>
      </c>
      <c r="P681" s="95">
        <f t="shared" si="452"/>
        <v>105</v>
      </c>
      <c r="Q681" s="98">
        <f t="shared" si="453"/>
        <v>329</v>
      </c>
      <c r="R681" s="119"/>
    </row>
    <row r="682" spans="1:18" x14ac:dyDescent="0.3">
      <c r="A682" s="86" t="str">
        <f>IF(TRIM(H682)&lt;&gt;"",COUNTA(H$9:$H682)&amp;"","")</f>
        <v>495</v>
      </c>
      <c r="B682" s="87" t="s">
        <v>713</v>
      </c>
      <c r="C682" s="87" t="s">
        <v>774</v>
      </c>
      <c r="D682" s="88"/>
      <c r="E682" s="100" t="s">
        <v>785</v>
      </c>
      <c r="F682" s="90">
        <v>2</v>
      </c>
      <c r="H682" s="91" t="s">
        <v>239</v>
      </c>
      <c r="I682" s="92">
        <f t="shared" si="445"/>
        <v>0</v>
      </c>
      <c r="J682" s="93">
        <f t="shared" si="446"/>
        <v>2</v>
      </c>
      <c r="K682" s="94">
        <v>120</v>
      </c>
      <c r="L682" s="95">
        <f t="shared" si="448"/>
        <v>240</v>
      </c>
      <c r="M682" s="96">
        <f t="shared" si="449"/>
        <v>75</v>
      </c>
      <c r="N682" s="97">
        <v>0.75</v>
      </c>
      <c r="O682" s="97">
        <f t="shared" si="451"/>
        <v>1.5</v>
      </c>
      <c r="P682" s="95">
        <f t="shared" si="452"/>
        <v>112.5</v>
      </c>
      <c r="Q682" s="98">
        <f t="shared" si="453"/>
        <v>352.5</v>
      </c>
      <c r="R682" s="119"/>
    </row>
    <row r="683" spans="1:18" x14ac:dyDescent="0.3">
      <c r="A683" s="86" t="str">
        <f>IF(TRIM(H683)&lt;&gt;"",COUNTA(H$9:$H683)&amp;"","")</f>
        <v>496</v>
      </c>
      <c r="B683" s="87" t="s">
        <v>713</v>
      </c>
      <c r="C683" s="87" t="s">
        <v>774</v>
      </c>
      <c r="D683" s="88"/>
      <c r="E683" s="100" t="s">
        <v>786</v>
      </c>
      <c r="F683" s="90">
        <v>3</v>
      </c>
      <c r="H683" s="91" t="s">
        <v>239</v>
      </c>
      <c r="I683" s="92">
        <f t="shared" si="445"/>
        <v>0</v>
      </c>
      <c r="J683" s="93">
        <f t="shared" si="446"/>
        <v>3</v>
      </c>
      <c r="K683" s="94">
        <v>120</v>
      </c>
      <c r="L683" s="95">
        <f t="shared" si="448"/>
        <v>360</v>
      </c>
      <c r="M683" s="96">
        <f t="shared" si="449"/>
        <v>75</v>
      </c>
      <c r="N683" s="97">
        <v>0.75</v>
      </c>
      <c r="O683" s="97">
        <f t="shared" si="451"/>
        <v>2.25</v>
      </c>
      <c r="P683" s="95">
        <f t="shared" si="452"/>
        <v>168.75</v>
      </c>
      <c r="Q683" s="98">
        <f t="shared" si="453"/>
        <v>528.75</v>
      </c>
      <c r="R683" s="119"/>
    </row>
    <row r="684" spans="1:18" x14ac:dyDescent="0.3">
      <c r="A684" s="86" t="str">
        <f>IF(TRIM(H684)&lt;&gt;"",COUNTA(H$9:$H684)&amp;"","")</f>
        <v>497</v>
      </c>
      <c r="B684" s="87" t="s">
        <v>713</v>
      </c>
      <c r="C684" s="87" t="s">
        <v>774</v>
      </c>
      <c r="D684" s="88"/>
      <c r="E684" s="100" t="s">
        <v>787</v>
      </c>
      <c r="F684" s="90">
        <v>4</v>
      </c>
      <c r="H684" s="91" t="s">
        <v>239</v>
      </c>
      <c r="I684" s="92">
        <f t="shared" si="445"/>
        <v>0</v>
      </c>
      <c r="J684" s="93">
        <f t="shared" si="446"/>
        <v>4</v>
      </c>
      <c r="K684" s="94">
        <v>134.4</v>
      </c>
      <c r="L684" s="95">
        <f t="shared" si="448"/>
        <v>537.6</v>
      </c>
      <c r="M684" s="96">
        <f t="shared" si="449"/>
        <v>75</v>
      </c>
      <c r="N684" s="97">
        <v>0.84000000000000008</v>
      </c>
      <c r="O684" s="97">
        <f t="shared" si="451"/>
        <v>3.3600000000000003</v>
      </c>
      <c r="P684" s="95">
        <f t="shared" si="452"/>
        <v>252.00000000000003</v>
      </c>
      <c r="Q684" s="98">
        <f t="shared" si="453"/>
        <v>789.6</v>
      </c>
      <c r="R684" s="119"/>
    </row>
    <row r="685" spans="1:18" x14ac:dyDescent="0.3">
      <c r="A685" s="86" t="str">
        <f>IF(TRIM(H685)&lt;&gt;"",COUNTA(H$9:$H685)&amp;"","")</f>
        <v>498</v>
      </c>
      <c r="B685" s="87" t="s">
        <v>713</v>
      </c>
      <c r="C685" s="87" t="s">
        <v>774</v>
      </c>
      <c r="D685" s="88"/>
      <c r="E685" s="100" t="s">
        <v>788</v>
      </c>
      <c r="F685" s="90">
        <v>2</v>
      </c>
      <c r="H685" s="91" t="s">
        <v>239</v>
      </c>
      <c r="I685" s="92">
        <f t="shared" si="445"/>
        <v>0</v>
      </c>
      <c r="J685" s="93">
        <f t="shared" si="446"/>
        <v>2</v>
      </c>
      <c r="K685" s="94">
        <v>142.4</v>
      </c>
      <c r="L685" s="95">
        <f t="shared" si="448"/>
        <v>284.8</v>
      </c>
      <c r="M685" s="96">
        <f t="shared" si="449"/>
        <v>75</v>
      </c>
      <c r="N685" s="97">
        <v>0.89</v>
      </c>
      <c r="O685" s="97">
        <f t="shared" si="451"/>
        <v>1.78</v>
      </c>
      <c r="P685" s="95">
        <f t="shared" si="452"/>
        <v>133.5</v>
      </c>
      <c r="Q685" s="98">
        <f t="shared" si="453"/>
        <v>418.3</v>
      </c>
      <c r="R685" s="119"/>
    </row>
    <row r="686" spans="1:18" x14ac:dyDescent="0.3">
      <c r="A686" s="86" t="str">
        <f>IF(TRIM(H686)&lt;&gt;"",COUNTA(H$9:$H686)&amp;"","")</f>
        <v/>
      </c>
      <c r="B686" s="87"/>
      <c r="C686" s="87"/>
      <c r="D686" s="88"/>
      <c r="E686" s="100"/>
      <c r="F686" s="90"/>
      <c r="H686" s="91"/>
      <c r="I686" s="92" t="str">
        <f t="shared" si="445"/>
        <v/>
      </c>
      <c r="J686" s="93" t="str">
        <f t="shared" si="446"/>
        <v/>
      </c>
      <c r="K686" s="94" t="s">
        <v>549</v>
      </c>
      <c r="L686" s="95" t="str">
        <f t="shared" si="448"/>
        <v/>
      </c>
      <c r="M686" s="96" t="str">
        <f t="shared" si="449"/>
        <v/>
      </c>
      <c r="N686" s="97" t="s">
        <v>549</v>
      </c>
      <c r="O686" s="97" t="str">
        <f t="shared" si="451"/>
        <v/>
      </c>
      <c r="P686" s="95" t="str">
        <f t="shared" si="452"/>
        <v/>
      </c>
      <c r="Q686" s="98" t="str">
        <f t="shared" si="453"/>
        <v/>
      </c>
      <c r="R686" s="119"/>
    </row>
    <row r="687" spans="1:18" ht="15.6" x14ac:dyDescent="0.3">
      <c r="A687" s="86" t="str">
        <f>IF(TRIM(H687)&lt;&gt;"",COUNTA(H$9:$H687)&amp;"","")</f>
        <v/>
      </c>
      <c r="B687" s="87"/>
      <c r="C687" s="87"/>
      <c r="D687" s="88"/>
      <c r="E687" s="164" t="s">
        <v>789</v>
      </c>
      <c r="F687" s="90"/>
      <c r="H687" s="91"/>
      <c r="I687" s="92" t="str">
        <f>IF(F687=0,"",0)</f>
        <v/>
      </c>
      <c r="J687" s="93" t="str">
        <f>IF(F687=0,"",F687+(F687*I687))</f>
        <v/>
      </c>
      <c r="K687" s="94" t="s">
        <v>549</v>
      </c>
      <c r="L687" s="95" t="str">
        <f>IF(F687=0,"",K687*J687)</f>
        <v/>
      </c>
      <c r="M687" s="96" t="str">
        <f>IF(F687=0,"",M$7)</f>
        <v/>
      </c>
      <c r="N687" s="97" t="s">
        <v>549</v>
      </c>
      <c r="O687" s="97" t="str">
        <f>IF(F687=0,"",N687*J687)</f>
        <v/>
      </c>
      <c r="P687" s="95" t="str">
        <f>IF(F687=0,"",O687*M687)</f>
        <v/>
      </c>
      <c r="Q687" s="98" t="str">
        <f>IF(F687=0,"",L687+P687)</f>
        <v/>
      </c>
      <c r="R687" s="119"/>
    </row>
    <row r="688" spans="1:18" x14ac:dyDescent="0.3">
      <c r="A688" s="86" t="str">
        <f>IF(TRIM(H688)&lt;&gt;"",COUNTA(H$9:$H688)&amp;"","")</f>
        <v>499</v>
      </c>
      <c r="B688" s="87" t="s">
        <v>713</v>
      </c>
      <c r="C688" s="87" t="s">
        <v>713</v>
      </c>
      <c r="D688" s="88"/>
      <c r="E688" s="100" t="s">
        <v>790</v>
      </c>
      <c r="F688" s="90">
        <v>4</v>
      </c>
      <c r="H688" s="91" t="s">
        <v>239</v>
      </c>
      <c r="I688" s="92">
        <f t="shared" ref="I688:I692" si="454">IF(F688=0,"",0)</f>
        <v>0</v>
      </c>
      <c r="J688" s="93">
        <f t="shared" ref="J688:J692" si="455">IF(F688=0,"",F688+(F688*I688))</f>
        <v>4</v>
      </c>
      <c r="K688" s="94">
        <v>62.4</v>
      </c>
      <c r="L688" s="95">
        <f t="shared" ref="L688:L692" si="456">IF(F688=0,"",K688*J688)</f>
        <v>249.6</v>
      </c>
      <c r="M688" s="96">
        <f t="shared" ref="M688:M692" si="457">IF(F688=0,"",M$7)</f>
        <v>75</v>
      </c>
      <c r="N688" s="97">
        <v>0.39</v>
      </c>
      <c r="O688" s="97">
        <f t="shared" ref="O688:O692" si="458">IF(F688=0,"",N688*J688)</f>
        <v>1.56</v>
      </c>
      <c r="P688" s="95">
        <f t="shared" ref="P688:P692" si="459">IF(F688=0,"",O688*M688)</f>
        <v>117</v>
      </c>
      <c r="Q688" s="98">
        <f t="shared" ref="Q688:Q692" si="460">IF(F688=0,"",L688+P688)</f>
        <v>366.6</v>
      </c>
      <c r="R688" s="119"/>
    </row>
    <row r="689" spans="1:18" x14ac:dyDescent="0.3">
      <c r="A689" s="86" t="str">
        <f>IF(TRIM(H689)&lt;&gt;"",COUNTA(H$9:$H689)&amp;"","")</f>
        <v>500</v>
      </c>
      <c r="B689" s="87" t="s">
        <v>713</v>
      </c>
      <c r="C689" s="87" t="s">
        <v>713</v>
      </c>
      <c r="D689" s="88"/>
      <c r="E689" s="89" t="s">
        <v>791</v>
      </c>
      <c r="F689" s="90">
        <v>1</v>
      </c>
      <c r="H689" s="91" t="s">
        <v>239</v>
      </c>
      <c r="I689" s="92">
        <f t="shared" si="454"/>
        <v>0</v>
      </c>
      <c r="J689" s="93">
        <f t="shared" si="455"/>
        <v>1</v>
      </c>
      <c r="K689" s="94">
        <v>74.400000000000006</v>
      </c>
      <c r="L689" s="95">
        <f t="shared" si="456"/>
        <v>74.400000000000006</v>
      </c>
      <c r="M689" s="96">
        <f t="shared" si="457"/>
        <v>75</v>
      </c>
      <c r="N689" s="97">
        <v>0.46500000000000002</v>
      </c>
      <c r="O689" s="97">
        <f t="shared" si="458"/>
        <v>0.46500000000000002</v>
      </c>
      <c r="P689" s="95">
        <f t="shared" si="459"/>
        <v>34.875</v>
      </c>
      <c r="Q689" s="98">
        <f t="shared" si="460"/>
        <v>109.27500000000001</v>
      </c>
      <c r="R689" s="119"/>
    </row>
    <row r="690" spans="1:18" x14ac:dyDescent="0.3">
      <c r="A690" s="86" t="str">
        <f>IF(TRIM(H690)&lt;&gt;"",COUNTA(H$9:$H690)&amp;"","")</f>
        <v>501</v>
      </c>
      <c r="B690" s="87" t="s">
        <v>713</v>
      </c>
      <c r="C690" s="87" t="s">
        <v>713</v>
      </c>
      <c r="D690" s="88"/>
      <c r="E690" s="89" t="s">
        <v>792</v>
      </c>
      <c r="F690" s="90">
        <v>1</v>
      </c>
      <c r="H690" s="91" t="s">
        <v>239</v>
      </c>
      <c r="I690" s="92">
        <f t="shared" si="454"/>
        <v>0</v>
      </c>
      <c r="J690" s="93">
        <f t="shared" si="455"/>
        <v>1</v>
      </c>
      <c r="K690" s="94">
        <v>86.4</v>
      </c>
      <c r="L690" s="95">
        <f t="shared" si="456"/>
        <v>86.4</v>
      </c>
      <c r="M690" s="96">
        <f t="shared" si="457"/>
        <v>75</v>
      </c>
      <c r="N690" s="97">
        <v>0.54</v>
      </c>
      <c r="O690" s="97">
        <f t="shared" si="458"/>
        <v>0.54</v>
      </c>
      <c r="P690" s="95">
        <f t="shared" si="459"/>
        <v>40.5</v>
      </c>
      <c r="Q690" s="98">
        <f t="shared" si="460"/>
        <v>126.9</v>
      </c>
      <c r="R690" s="119"/>
    </row>
    <row r="691" spans="1:18" x14ac:dyDescent="0.3">
      <c r="A691" s="86" t="str">
        <f>IF(TRIM(H691)&lt;&gt;"",COUNTA(H$9:$H691)&amp;"","")</f>
        <v>502</v>
      </c>
      <c r="B691" s="87" t="s">
        <v>713</v>
      </c>
      <c r="C691" s="87" t="s">
        <v>713</v>
      </c>
      <c r="D691" s="88"/>
      <c r="E691" s="89" t="s">
        <v>793</v>
      </c>
      <c r="F691" s="90">
        <v>1</v>
      </c>
      <c r="H691" s="91" t="s">
        <v>239</v>
      </c>
      <c r="I691" s="92">
        <f t="shared" si="454"/>
        <v>0</v>
      </c>
      <c r="J691" s="93">
        <f t="shared" si="455"/>
        <v>1</v>
      </c>
      <c r="K691" s="94">
        <v>98.4</v>
      </c>
      <c r="L691" s="95">
        <f t="shared" si="456"/>
        <v>98.4</v>
      </c>
      <c r="M691" s="96">
        <f t="shared" si="457"/>
        <v>75</v>
      </c>
      <c r="N691" s="97">
        <v>0.61499999999999999</v>
      </c>
      <c r="O691" s="97">
        <f t="shared" si="458"/>
        <v>0.61499999999999999</v>
      </c>
      <c r="P691" s="95">
        <f t="shared" si="459"/>
        <v>46.125</v>
      </c>
      <c r="Q691" s="98">
        <f t="shared" si="460"/>
        <v>144.52500000000001</v>
      </c>
      <c r="R691" s="119"/>
    </row>
    <row r="692" spans="1:18" x14ac:dyDescent="0.3">
      <c r="A692" s="86" t="str">
        <f>IF(TRIM(H692)&lt;&gt;"",COUNTA(H$9:$H692)&amp;"","")</f>
        <v>503</v>
      </c>
      <c r="B692" s="87" t="s">
        <v>713</v>
      </c>
      <c r="C692" s="87" t="s">
        <v>713</v>
      </c>
      <c r="D692" s="88"/>
      <c r="E692" s="100" t="s">
        <v>794</v>
      </c>
      <c r="F692" s="90">
        <v>3</v>
      </c>
      <c r="H692" s="91" t="s">
        <v>239</v>
      </c>
      <c r="I692" s="92">
        <f t="shared" si="454"/>
        <v>0</v>
      </c>
      <c r="J692" s="93">
        <f t="shared" si="455"/>
        <v>3</v>
      </c>
      <c r="K692" s="94">
        <v>168</v>
      </c>
      <c r="L692" s="95">
        <f t="shared" si="456"/>
        <v>504</v>
      </c>
      <c r="M692" s="96">
        <f t="shared" si="457"/>
        <v>75</v>
      </c>
      <c r="N692" s="97">
        <v>1.05</v>
      </c>
      <c r="O692" s="97">
        <f t="shared" si="458"/>
        <v>3.1500000000000004</v>
      </c>
      <c r="P692" s="95">
        <f t="shared" si="459"/>
        <v>236.25000000000003</v>
      </c>
      <c r="Q692" s="98">
        <f t="shared" si="460"/>
        <v>740.25</v>
      </c>
      <c r="R692" s="119"/>
    </row>
    <row r="693" spans="1:18" x14ac:dyDescent="0.3">
      <c r="A693" s="86" t="str">
        <f>IF(TRIM(H693)&lt;&gt;"",COUNTA(H$9:$H693)&amp;"","")</f>
        <v/>
      </c>
      <c r="B693" s="87"/>
      <c r="C693" s="87"/>
      <c r="D693" s="88"/>
      <c r="E693" s="100"/>
      <c r="F693" s="90"/>
      <c r="H693" s="91"/>
      <c r="I693" s="92" t="str">
        <f>IF(F693=0,"",0)</f>
        <v/>
      </c>
      <c r="J693" s="93" t="str">
        <f>IF(F693=0,"",F693+(F693*I693))</f>
        <v/>
      </c>
      <c r="K693" s="94" t="s">
        <v>549</v>
      </c>
      <c r="L693" s="95" t="str">
        <f>IF(F693=0,"",K693*J693)</f>
        <v/>
      </c>
      <c r="M693" s="96" t="str">
        <f>IF(F693=0,"",M$7)</f>
        <v/>
      </c>
      <c r="N693" s="97" t="s">
        <v>549</v>
      </c>
      <c r="O693" s="97" t="str">
        <f>IF(F693=0,"",N693*J693)</f>
        <v/>
      </c>
      <c r="P693" s="95" t="str">
        <f>IF(F693=0,"",O693*M693)</f>
        <v/>
      </c>
      <c r="Q693" s="98" t="str">
        <f>IF(F693=0,"",L693+P693)</f>
        <v/>
      </c>
      <c r="R693" s="119"/>
    </row>
    <row r="694" spans="1:18" ht="15.6" x14ac:dyDescent="0.3">
      <c r="A694" s="86" t="str">
        <f>IF(TRIM(H694)&lt;&gt;"",COUNTA(H$9:$H694)&amp;"","")</f>
        <v/>
      </c>
      <c r="B694" s="87"/>
      <c r="C694" s="87"/>
      <c r="D694" s="88"/>
      <c r="E694" s="164" t="s">
        <v>201</v>
      </c>
      <c r="F694" s="90"/>
      <c r="H694" s="91"/>
      <c r="I694" s="92" t="str">
        <f t="shared" ref="I694:I705" si="461">IF(F694=0,"",0)</f>
        <v/>
      </c>
      <c r="J694" s="93" t="str">
        <f t="shared" ref="J694:J705" si="462">IF(F694=0,"",F694+(F694*I694))</f>
        <v/>
      </c>
      <c r="K694" s="94" t="s">
        <v>549</v>
      </c>
      <c r="L694" s="95" t="str">
        <f t="shared" ref="L694:L705" si="463">IF(F694=0,"",K694*J694)</f>
        <v/>
      </c>
      <c r="M694" s="96" t="str">
        <f t="shared" ref="M694:M705" si="464">IF(F694=0,"",M$7)</f>
        <v/>
      </c>
      <c r="N694" s="97" t="s">
        <v>549</v>
      </c>
      <c r="O694" s="97" t="str">
        <f t="shared" ref="O694:O705" si="465">IF(F694=0,"",N694*J694)</f>
        <v/>
      </c>
      <c r="P694" s="95" t="str">
        <f t="shared" ref="P694:P705" si="466">IF(F694=0,"",O694*M694)</f>
        <v/>
      </c>
      <c r="Q694" s="98" t="str">
        <f t="shared" ref="Q694:Q705" si="467">IF(F694=0,"",L694+P694)</f>
        <v/>
      </c>
      <c r="R694" s="119"/>
    </row>
    <row r="695" spans="1:18" x14ac:dyDescent="0.3">
      <c r="A695" s="86" t="str">
        <f>IF(TRIM(H695)&lt;&gt;"",COUNTA(H$9:$H695)&amp;"","")</f>
        <v>504</v>
      </c>
      <c r="B695" s="87" t="s">
        <v>713</v>
      </c>
      <c r="C695" s="87" t="s">
        <v>713</v>
      </c>
      <c r="D695" s="88"/>
      <c r="E695" s="100" t="s">
        <v>795</v>
      </c>
      <c r="F695" s="90">
        <v>1</v>
      </c>
      <c r="H695" s="91" t="s">
        <v>239</v>
      </c>
      <c r="I695" s="92">
        <f t="shared" si="461"/>
        <v>0</v>
      </c>
      <c r="J695" s="93">
        <f t="shared" si="462"/>
        <v>1</v>
      </c>
      <c r="K695" s="94">
        <v>1850</v>
      </c>
      <c r="L695" s="95">
        <f t="shared" si="463"/>
        <v>1850</v>
      </c>
      <c r="M695" s="96">
        <f t="shared" si="464"/>
        <v>75</v>
      </c>
      <c r="N695" s="97">
        <v>11.5625</v>
      </c>
      <c r="O695" s="97">
        <f t="shared" si="465"/>
        <v>11.5625</v>
      </c>
      <c r="P695" s="95">
        <f t="shared" si="466"/>
        <v>867.1875</v>
      </c>
      <c r="Q695" s="98">
        <f t="shared" si="467"/>
        <v>2717.1875</v>
      </c>
      <c r="R695" s="119"/>
    </row>
    <row r="696" spans="1:18" x14ac:dyDescent="0.3">
      <c r="A696" s="86" t="str">
        <f>IF(TRIM(H696)&lt;&gt;"",COUNTA(H$9:$H696)&amp;"","")</f>
        <v>505</v>
      </c>
      <c r="B696" s="87" t="s">
        <v>713</v>
      </c>
      <c r="C696" s="87" t="s">
        <v>713</v>
      </c>
      <c r="D696" s="88"/>
      <c r="E696" s="89" t="s">
        <v>796</v>
      </c>
      <c r="F696" s="90">
        <v>1</v>
      </c>
      <c r="H696" s="91" t="s">
        <v>239</v>
      </c>
      <c r="I696" s="92">
        <f t="shared" si="461"/>
        <v>0</v>
      </c>
      <c r="J696" s="93">
        <f t="shared" si="462"/>
        <v>1</v>
      </c>
      <c r="K696" s="94">
        <v>180</v>
      </c>
      <c r="L696" s="95">
        <f t="shared" si="463"/>
        <v>180</v>
      </c>
      <c r="M696" s="96">
        <f t="shared" si="464"/>
        <v>75</v>
      </c>
      <c r="N696" s="97">
        <v>1.125</v>
      </c>
      <c r="O696" s="97">
        <f t="shared" si="465"/>
        <v>1.125</v>
      </c>
      <c r="P696" s="95">
        <f t="shared" si="466"/>
        <v>84.375</v>
      </c>
      <c r="Q696" s="98">
        <f t="shared" si="467"/>
        <v>264.375</v>
      </c>
      <c r="R696" s="119"/>
    </row>
    <row r="697" spans="1:18" x14ac:dyDescent="0.3">
      <c r="A697" s="86" t="str">
        <f>IF(TRIM(H697)&lt;&gt;"",COUNTA(H$9:$H697)&amp;"","")</f>
        <v>506</v>
      </c>
      <c r="B697" s="87" t="s">
        <v>713</v>
      </c>
      <c r="C697" s="87" t="s">
        <v>713</v>
      </c>
      <c r="D697" s="88"/>
      <c r="E697" s="89" t="s">
        <v>797</v>
      </c>
      <c r="F697" s="90">
        <v>1</v>
      </c>
      <c r="H697" s="91" t="s">
        <v>239</v>
      </c>
      <c r="I697" s="92">
        <f t="shared" si="461"/>
        <v>0</v>
      </c>
      <c r="J697" s="93">
        <f t="shared" si="462"/>
        <v>1</v>
      </c>
      <c r="K697" s="94">
        <v>140</v>
      </c>
      <c r="L697" s="95">
        <f t="shared" si="463"/>
        <v>140</v>
      </c>
      <c r="M697" s="96">
        <f t="shared" si="464"/>
        <v>75</v>
      </c>
      <c r="N697" s="97">
        <v>0.875</v>
      </c>
      <c r="O697" s="97">
        <f t="shared" si="465"/>
        <v>0.875</v>
      </c>
      <c r="P697" s="95">
        <f t="shared" si="466"/>
        <v>65.625</v>
      </c>
      <c r="Q697" s="98">
        <f t="shared" si="467"/>
        <v>205.625</v>
      </c>
      <c r="R697" s="119"/>
    </row>
    <row r="698" spans="1:18" x14ac:dyDescent="0.3">
      <c r="A698" s="86" t="str">
        <f>IF(TRIM(H698)&lt;&gt;"",COUNTA(H$9:$H698)&amp;"","")</f>
        <v>507</v>
      </c>
      <c r="B698" s="87" t="s">
        <v>713</v>
      </c>
      <c r="C698" s="87" t="s">
        <v>713</v>
      </c>
      <c r="D698" s="88"/>
      <c r="E698" s="89" t="s">
        <v>798</v>
      </c>
      <c r="F698" s="90">
        <v>1</v>
      </c>
      <c r="H698" s="91" t="s">
        <v>239</v>
      </c>
      <c r="I698" s="92">
        <f t="shared" si="461"/>
        <v>0</v>
      </c>
      <c r="J698" s="93">
        <f t="shared" si="462"/>
        <v>1</v>
      </c>
      <c r="K698" s="94">
        <v>120</v>
      </c>
      <c r="L698" s="95">
        <f t="shared" si="463"/>
        <v>120</v>
      </c>
      <c r="M698" s="96">
        <f t="shared" si="464"/>
        <v>75</v>
      </c>
      <c r="N698" s="97">
        <v>0.75</v>
      </c>
      <c r="O698" s="97">
        <f t="shared" si="465"/>
        <v>0.75</v>
      </c>
      <c r="P698" s="95">
        <f t="shared" si="466"/>
        <v>56.25</v>
      </c>
      <c r="Q698" s="98">
        <f t="shared" si="467"/>
        <v>176.25</v>
      </c>
      <c r="R698" s="119"/>
    </row>
    <row r="699" spans="1:18" x14ac:dyDescent="0.3">
      <c r="A699" s="86" t="str">
        <f>IF(TRIM(H699)&lt;&gt;"",COUNTA(H$9:$H699)&amp;"","")</f>
        <v>508</v>
      </c>
      <c r="B699" s="87" t="s">
        <v>713</v>
      </c>
      <c r="C699" s="87" t="s">
        <v>713</v>
      </c>
      <c r="D699" s="88"/>
      <c r="E699" s="89" t="s">
        <v>799</v>
      </c>
      <c r="F699" s="90">
        <v>1</v>
      </c>
      <c r="H699" s="91" t="s">
        <v>239</v>
      </c>
      <c r="I699" s="92">
        <f t="shared" si="461"/>
        <v>0</v>
      </c>
      <c r="J699" s="93">
        <f t="shared" si="462"/>
        <v>1</v>
      </c>
      <c r="K699" s="94">
        <v>305</v>
      </c>
      <c r="L699" s="95">
        <f t="shared" si="463"/>
        <v>305</v>
      </c>
      <c r="M699" s="96">
        <f t="shared" si="464"/>
        <v>75</v>
      </c>
      <c r="N699" s="97">
        <v>1.90625</v>
      </c>
      <c r="O699" s="97">
        <f t="shared" si="465"/>
        <v>1.90625</v>
      </c>
      <c r="P699" s="95">
        <f t="shared" si="466"/>
        <v>142.96875</v>
      </c>
      <c r="Q699" s="98">
        <f t="shared" si="467"/>
        <v>447.96875</v>
      </c>
      <c r="R699" s="119"/>
    </row>
    <row r="700" spans="1:18" x14ac:dyDescent="0.3">
      <c r="A700" s="86" t="str">
        <f>IF(TRIM(H700)&lt;&gt;"",COUNTA(H$9:$H700)&amp;"","")</f>
        <v>509</v>
      </c>
      <c r="B700" s="87" t="s">
        <v>713</v>
      </c>
      <c r="C700" s="87" t="s">
        <v>713</v>
      </c>
      <c r="D700" s="88"/>
      <c r="E700" s="89" t="s">
        <v>800</v>
      </c>
      <c r="F700" s="90">
        <v>2</v>
      </c>
      <c r="H700" s="91" t="s">
        <v>239</v>
      </c>
      <c r="I700" s="92">
        <f t="shared" si="461"/>
        <v>0</v>
      </c>
      <c r="J700" s="93">
        <f t="shared" si="462"/>
        <v>2</v>
      </c>
      <c r="K700" s="94">
        <v>67.5</v>
      </c>
      <c r="L700" s="95">
        <f t="shared" si="463"/>
        <v>135</v>
      </c>
      <c r="M700" s="96">
        <f t="shared" si="464"/>
        <v>75</v>
      </c>
      <c r="N700" s="97">
        <v>0.421875</v>
      </c>
      <c r="O700" s="97">
        <f t="shared" si="465"/>
        <v>0.84375</v>
      </c>
      <c r="P700" s="95">
        <f t="shared" si="466"/>
        <v>63.28125</v>
      </c>
      <c r="Q700" s="98">
        <f t="shared" si="467"/>
        <v>198.28125</v>
      </c>
      <c r="R700" s="119"/>
    </row>
    <row r="701" spans="1:18" x14ac:dyDescent="0.3">
      <c r="A701" s="86" t="str">
        <f>IF(TRIM(H701)&lt;&gt;"",COUNTA(H$9:$H701)&amp;"","")</f>
        <v>510</v>
      </c>
      <c r="B701" s="87" t="s">
        <v>713</v>
      </c>
      <c r="C701" s="87" t="s">
        <v>713</v>
      </c>
      <c r="D701" s="88"/>
      <c r="E701" s="89" t="s">
        <v>801</v>
      </c>
      <c r="F701" s="90">
        <v>2</v>
      </c>
      <c r="H701" s="91" t="s">
        <v>239</v>
      </c>
      <c r="I701" s="92">
        <f t="shared" si="461"/>
        <v>0</v>
      </c>
      <c r="J701" s="93">
        <f t="shared" si="462"/>
        <v>2</v>
      </c>
      <c r="K701" s="94">
        <v>238</v>
      </c>
      <c r="L701" s="95">
        <f t="shared" si="463"/>
        <v>476</v>
      </c>
      <c r="M701" s="96">
        <f t="shared" si="464"/>
        <v>75</v>
      </c>
      <c r="N701" s="97">
        <v>1.4875</v>
      </c>
      <c r="O701" s="97">
        <f t="shared" si="465"/>
        <v>2.9750000000000001</v>
      </c>
      <c r="P701" s="95">
        <f t="shared" si="466"/>
        <v>223.125</v>
      </c>
      <c r="Q701" s="98">
        <f t="shared" si="467"/>
        <v>699.125</v>
      </c>
      <c r="R701" s="119"/>
    </row>
    <row r="702" spans="1:18" x14ac:dyDescent="0.3">
      <c r="A702" s="86" t="str">
        <f>IF(TRIM(H702)&lt;&gt;"",COUNTA(H$9:$H702)&amp;"","")</f>
        <v>511</v>
      </c>
      <c r="B702" s="87" t="s">
        <v>713</v>
      </c>
      <c r="C702" s="87" t="s">
        <v>713</v>
      </c>
      <c r="D702" s="88"/>
      <c r="E702" s="89" t="s">
        <v>802</v>
      </c>
      <c r="F702" s="90">
        <v>3</v>
      </c>
      <c r="H702" s="91" t="s">
        <v>239</v>
      </c>
      <c r="I702" s="92">
        <f t="shared" si="461"/>
        <v>0</v>
      </c>
      <c r="J702" s="93">
        <f t="shared" si="462"/>
        <v>3</v>
      </c>
      <c r="K702" s="94">
        <v>140</v>
      </c>
      <c r="L702" s="95">
        <f t="shared" si="463"/>
        <v>420</v>
      </c>
      <c r="M702" s="96">
        <f t="shared" si="464"/>
        <v>75</v>
      </c>
      <c r="N702" s="97">
        <v>0.875</v>
      </c>
      <c r="O702" s="97">
        <f t="shared" si="465"/>
        <v>2.625</v>
      </c>
      <c r="P702" s="95">
        <f t="shared" si="466"/>
        <v>196.875</v>
      </c>
      <c r="Q702" s="98">
        <f t="shared" si="467"/>
        <v>616.875</v>
      </c>
      <c r="R702" s="119"/>
    </row>
    <row r="703" spans="1:18" x14ac:dyDescent="0.3">
      <c r="A703" s="86" t="str">
        <f>IF(TRIM(H703)&lt;&gt;"",COUNTA(H$9:$H703)&amp;"","")</f>
        <v>512</v>
      </c>
      <c r="B703" s="87" t="s">
        <v>713</v>
      </c>
      <c r="C703" s="87" t="s">
        <v>713</v>
      </c>
      <c r="D703" s="88"/>
      <c r="E703" s="89" t="s">
        <v>803</v>
      </c>
      <c r="F703" s="90">
        <v>1</v>
      </c>
      <c r="H703" s="91" t="s">
        <v>239</v>
      </c>
      <c r="I703" s="92">
        <f t="shared" si="461"/>
        <v>0</v>
      </c>
      <c r="J703" s="93">
        <f t="shared" si="462"/>
        <v>1</v>
      </c>
      <c r="K703" s="94">
        <v>520</v>
      </c>
      <c r="L703" s="95">
        <f t="shared" si="463"/>
        <v>520</v>
      </c>
      <c r="M703" s="96">
        <f t="shared" si="464"/>
        <v>75</v>
      </c>
      <c r="N703" s="97">
        <v>3.25</v>
      </c>
      <c r="O703" s="97">
        <f t="shared" si="465"/>
        <v>3.25</v>
      </c>
      <c r="P703" s="95">
        <f t="shared" si="466"/>
        <v>243.75</v>
      </c>
      <c r="Q703" s="98">
        <f t="shared" si="467"/>
        <v>763.75</v>
      </c>
      <c r="R703" s="119"/>
    </row>
    <row r="704" spans="1:18" x14ac:dyDescent="0.3">
      <c r="A704" s="86" t="str">
        <f>IF(TRIM(H704)&lt;&gt;"",COUNTA(H$9:$H704)&amp;"","")</f>
        <v>513</v>
      </c>
      <c r="B704" s="87" t="s">
        <v>713</v>
      </c>
      <c r="C704" s="87" t="s">
        <v>713</v>
      </c>
      <c r="D704" s="88"/>
      <c r="E704" s="89" t="s">
        <v>691</v>
      </c>
      <c r="F704" s="90">
        <v>1</v>
      </c>
      <c r="H704" s="91" t="s">
        <v>239</v>
      </c>
      <c r="I704" s="92">
        <f t="shared" si="461"/>
        <v>0</v>
      </c>
      <c r="J704" s="93">
        <f t="shared" si="462"/>
        <v>1</v>
      </c>
      <c r="K704" s="94">
        <v>64</v>
      </c>
      <c r="L704" s="95">
        <f t="shared" si="463"/>
        <v>64</v>
      </c>
      <c r="M704" s="96">
        <f t="shared" si="464"/>
        <v>75</v>
      </c>
      <c r="N704" s="97">
        <v>0.4</v>
      </c>
      <c r="O704" s="97">
        <f t="shared" si="465"/>
        <v>0.4</v>
      </c>
      <c r="P704" s="95">
        <f t="shared" si="466"/>
        <v>30</v>
      </c>
      <c r="Q704" s="98">
        <f t="shared" si="467"/>
        <v>94</v>
      </c>
      <c r="R704" s="119"/>
    </row>
    <row r="705" spans="1:18" x14ac:dyDescent="0.3">
      <c r="A705" s="86" t="str">
        <f>IF(TRIM(H705)&lt;&gt;"",COUNTA(H$9:$H705)&amp;"","")</f>
        <v>514</v>
      </c>
      <c r="B705" s="87" t="s">
        <v>713</v>
      </c>
      <c r="C705" s="87" t="s">
        <v>713</v>
      </c>
      <c r="D705" s="88"/>
      <c r="E705" s="89" t="s">
        <v>804</v>
      </c>
      <c r="F705" s="90">
        <v>2</v>
      </c>
      <c r="H705" s="91" t="s">
        <v>239</v>
      </c>
      <c r="I705" s="92">
        <f t="shared" si="461"/>
        <v>0</v>
      </c>
      <c r="J705" s="93">
        <f t="shared" si="462"/>
        <v>2</v>
      </c>
      <c r="K705" s="94">
        <v>121.6</v>
      </c>
      <c r="L705" s="95">
        <f t="shared" si="463"/>
        <v>243.2</v>
      </c>
      <c r="M705" s="96">
        <f t="shared" si="464"/>
        <v>75</v>
      </c>
      <c r="N705" s="97">
        <v>0.76</v>
      </c>
      <c r="O705" s="97">
        <f t="shared" si="465"/>
        <v>1.52</v>
      </c>
      <c r="P705" s="95">
        <f t="shared" si="466"/>
        <v>114</v>
      </c>
      <c r="Q705" s="98">
        <f t="shared" si="467"/>
        <v>357.2</v>
      </c>
      <c r="R705" s="119"/>
    </row>
    <row r="706" spans="1:18" x14ac:dyDescent="0.3">
      <c r="A706" s="86" t="str">
        <f>IF(TRIM(H706)&lt;&gt;"",COUNTA(H$9:$H706)&amp;"","")</f>
        <v/>
      </c>
      <c r="B706" s="87"/>
      <c r="C706" s="87"/>
      <c r="D706" s="88"/>
      <c r="E706" s="100"/>
      <c r="F706" s="90"/>
      <c r="H706" s="91"/>
      <c r="I706" s="92" t="str">
        <f t="shared" si="445"/>
        <v/>
      </c>
      <c r="J706" s="93" t="str">
        <f t="shared" si="446"/>
        <v/>
      </c>
      <c r="K706" s="94" t="s">
        <v>549</v>
      </c>
      <c r="L706" s="95" t="str">
        <f t="shared" si="448"/>
        <v/>
      </c>
      <c r="M706" s="96" t="str">
        <f t="shared" si="449"/>
        <v/>
      </c>
      <c r="N706" s="97" t="s">
        <v>549</v>
      </c>
      <c r="O706" s="97" t="str">
        <f t="shared" si="451"/>
        <v/>
      </c>
      <c r="P706" s="95" t="str">
        <f t="shared" si="452"/>
        <v/>
      </c>
      <c r="Q706" s="98" t="str">
        <f t="shared" si="453"/>
        <v/>
      </c>
      <c r="R706" s="119"/>
    </row>
    <row r="707" spans="1:18" ht="15.6" x14ac:dyDescent="0.3">
      <c r="A707" s="86" t="str">
        <f>IF(TRIM(H707)&lt;&gt;"",COUNTA(H$9:$H707)&amp;"","")</f>
        <v/>
      </c>
      <c r="B707" s="87"/>
      <c r="C707" s="87"/>
      <c r="D707" s="88"/>
      <c r="E707" s="164" t="s">
        <v>202</v>
      </c>
      <c r="F707" s="90"/>
      <c r="H707" s="91"/>
      <c r="I707" s="92" t="str">
        <f t="shared" si="445"/>
        <v/>
      </c>
      <c r="J707" s="93" t="str">
        <f t="shared" si="446"/>
        <v/>
      </c>
      <c r="K707" s="94" t="s">
        <v>549</v>
      </c>
      <c r="L707" s="95" t="str">
        <f t="shared" si="448"/>
        <v/>
      </c>
      <c r="M707" s="96" t="str">
        <f t="shared" si="449"/>
        <v/>
      </c>
      <c r="N707" s="97" t="s">
        <v>549</v>
      </c>
      <c r="O707" s="97" t="str">
        <f t="shared" si="451"/>
        <v/>
      </c>
      <c r="P707" s="95" t="str">
        <f t="shared" si="452"/>
        <v/>
      </c>
      <c r="Q707" s="98" t="str">
        <f t="shared" si="453"/>
        <v/>
      </c>
      <c r="R707" s="119"/>
    </row>
    <row r="708" spans="1:18" ht="41.4" x14ac:dyDescent="0.3">
      <c r="A708" s="86" t="str">
        <f>IF(TRIM(H708)&lt;&gt;"",COUNTA(H$9:$H708)&amp;"","")</f>
        <v>515</v>
      </c>
      <c r="B708" s="87" t="s">
        <v>713</v>
      </c>
      <c r="C708" s="87" t="s">
        <v>774</v>
      </c>
      <c r="D708" s="88"/>
      <c r="E708" s="100" t="s">
        <v>805</v>
      </c>
      <c r="F708" s="90">
        <v>1</v>
      </c>
      <c r="H708" s="91" t="s">
        <v>239</v>
      </c>
      <c r="I708" s="92">
        <f t="shared" si="445"/>
        <v>0</v>
      </c>
      <c r="J708" s="93">
        <f t="shared" si="446"/>
        <v>1</v>
      </c>
      <c r="K708" s="94">
        <v>16000</v>
      </c>
      <c r="L708" s="95">
        <f t="shared" si="448"/>
        <v>16000</v>
      </c>
      <c r="M708" s="96">
        <f t="shared" si="449"/>
        <v>75</v>
      </c>
      <c r="N708" s="97">
        <v>62.5</v>
      </c>
      <c r="O708" s="97">
        <f t="shared" si="451"/>
        <v>62.5</v>
      </c>
      <c r="P708" s="95">
        <f t="shared" si="452"/>
        <v>4687.5</v>
      </c>
      <c r="Q708" s="98">
        <f t="shared" si="453"/>
        <v>20687.5</v>
      </c>
      <c r="R708" s="119"/>
    </row>
    <row r="709" spans="1:18" ht="82.8" x14ac:dyDescent="0.3">
      <c r="A709" s="86" t="str">
        <f>IF(TRIM(H709)&lt;&gt;"",COUNTA(H$9:$H709)&amp;"","")</f>
        <v>516</v>
      </c>
      <c r="B709" s="87" t="s">
        <v>713</v>
      </c>
      <c r="C709" s="87" t="s">
        <v>774</v>
      </c>
      <c r="D709" s="88"/>
      <c r="E709" s="100" t="s">
        <v>806</v>
      </c>
      <c r="F709" s="90">
        <v>1</v>
      </c>
      <c r="H709" s="91" t="s">
        <v>239</v>
      </c>
      <c r="I709" s="92">
        <f t="shared" si="445"/>
        <v>0</v>
      </c>
      <c r="J709" s="93">
        <f t="shared" si="446"/>
        <v>1</v>
      </c>
      <c r="K709" s="94">
        <v>7737.5</v>
      </c>
      <c r="L709" s="95">
        <f t="shared" si="448"/>
        <v>7737.5</v>
      </c>
      <c r="M709" s="96">
        <f t="shared" si="449"/>
        <v>75</v>
      </c>
      <c r="N709" s="97">
        <v>30</v>
      </c>
      <c r="O709" s="97">
        <f t="shared" si="451"/>
        <v>30</v>
      </c>
      <c r="P709" s="95">
        <f t="shared" si="452"/>
        <v>2250</v>
      </c>
      <c r="Q709" s="98">
        <f t="shared" si="453"/>
        <v>9987.5</v>
      </c>
      <c r="R709" s="119"/>
    </row>
    <row r="710" spans="1:18" ht="41.4" x14ac:dyDescent="0.3">
      <c r="A710" s="86" t="str">
        <f>IF(TRIM(H710)&lt;&gt;"",COUNTA(H$9:$H710)&amp;"","")</f>
        <v>517</v>
      </c>
      <c r="B710" s="87" t="s">
        <v>713</v>
      </c>
      <c r="C710" s="87" t="s">
        <v>774</v>
      </c>
      <c r="D710" s="88"/>
      <c r="E710" s="100" t="s">
        <v>807</v>
      </c>
      <c r="F710" s="90">
        <v>1</v>
      </c>
      <c r="H710" s="91" t="s">
        <v>239</v>
      </c>
      <c r="I710" s="92">
        <f t="shared" si="445"/>
        <v>0</v>
      </c>
      <c r="J710" s="93">
        <f t="shared" si="446"/>
        <v>1</v>
      </c>
      <c r="K710" s="94">
        <v>750</v>
      </c>
      <c r="L710" s="95">
        <f t="shared" si="448"/>
        <v>750</v>
      </c>
      <c r="M710" s="96">
        <f t="shared" si="449"/>
        <v>75</v>
      </c>
      <c r="N710" s="97">
        <v>4.6875</v>
      </c>
      <c r="O710" s="97">
        <f t="shared" si="451"/>
        <v>4.6875</v>
      </c>
      <c r="P710" s="95">
        <f t="shared" si="452"/>
        <v>351.5625</v>
      </c>
      <c r="Q710" s="98">
        <f t="shared" si="453"/>
        <v>1101.5625</v>
      </c>
      <c r="R710" s="119"/>
    </row>
    <row r="711" spans="1:18" ht="41.4" x14ac:dyDescent="0.3">
      <c r="A711" s="86" t="str">
        <f>IF(TRIM(H711)&lt;&gt;"",COUNTA(H$9:$H711)&amp;"","")</f>
        <v>518</v>
      </c>
      <c r="B711" s="87" t="s">
        <v>713</v>
      </c>
      <c r="C711" s="87" t="s">
        <v>774</v>
      </c>
      <c r="D711" s="88"/>
      <c r="E711" s="100" t="s">
        <v>808</v>
      </c>
      <c r="F711" s="90">
        <v>1</v>
      </c>
      <c r="H711" s="91" t="s">
        <v>239</v>
      </c>
      <c r="I711" s="92">
        <f t="shared" si="445"/>
        <v>0</v>
      </c>
      <c r="J711" s="93">
        <f t="shared" si="446"/>
        <v>1</v>
      </c>
      <c r="K711" s="94">
        <v>15300</v>
      </c>
      <c r="L711" s="95">
        <f t="shared" si="448"/>
        <v>15300</v>
      </c>
      <c r="M711" s="96">
        <f t="shared" si="449"/>
        <v>75</v>
      </c>
      <c r="N711" s="97">
        <v>30</v>
      </c>
      <c r="O711" s="97">
        <f t="shared" si="451"/>
        <v>30</v>
      </c>
      <c r="P711" s="95">
        <f t="shared" si="452"/>
        <v>2250</v>
      </c>
      <c r="Q711" s="98">
        <f t="shared" si="453"/>
        <v>17550</v>
      </c>
      <c r="R711" s="119"/>
    </row>
    <row r="712" spans="1:18" ht="41.4" x14ac:dyDescent="0.3">
      <c r="A712" s="86" t="str">
        <f>IF(TRIM(H712)&lt;&gt;"",COUNTA(H$9:$H712)&amp;"","")</f>
        <v>519</v>
      </c>
      <c r="B712" s="87" t="s">
        <v>713</v>
      </c>
      <c r="C712" s="87" t="s">
        <v>774</v>
      </c>
      <c r="D712" s="88"/>
      <c r="E712" s="100" t="s">
        <v>809</v>
      </c>
      <c r="F712" s="90">
        <v>1</v>
      </c>
      <c r="H712" s="91" t="s">
        <v>239</v>
      </c>
      <c r="I712" s="92">
        <f t="shared" si="445"/>
        <v>0</v>
      </c>
      <c r="J712" s="93">
        <f t="shared" si="446"/>
        <v>1</v>
      </c>
      <c r="K712" s="94">
        <v>5465</v>
      </c>
      <c r="L712" s="95">
        <f t="shared" si="448"/>
        <v>5465</v>
      </c>
      <c r="M712" s="96">
        <f t="shared" si="449"/>
        <v>75</v>
      </c>
      <c r="N712" s="97">
        <v>30</v>
      </c>
      <c r="O712" s="97">
        <f t="shared" si="451"/>
        <v>30</v>
      </c>
      <c r="P712" s="95">
        <f t="shared" si="452"/>
        <v>2250</v>
      </c>
      <c r="Q712" s="98">
        <f t="shared" si="453"/>
        <v>7715</v>
      </c>
      <c r="R712" s="119"/>
    </row>
    <row r="713" spans="1:18" ht="41.4" x14ac:dyDescent="0.3">
      <c r="A713" s="86" t="str">
        <f>IF(TRIM(H713)&lt;&gt;"",COUNTA(H$9:$H713)&amp;"","")</f>
        <v>520</v>
      </c>
      <c r="B713" s="87" t="s">
        <v>713</v>
      </c>
      <c r="C713" s="87" t="s">
        <v>774</v>
      </c>
      <c r="D713" s="88"/>
      <c r="E713" s="100" t="s">
        <v>810</v>
      </c>
      <c r="F713" s="90">
        <v>1</v>
      </c>
      <c r="H713" s="91" t="s">
        <v>239</v>
      </c>
      <c r="I713" s="92">
        <f t="shared" si="445"/>
        <v>0</v>
      </c>
      <c r="J713" s="93">
        <f t="shared" si="446"/>
        <v>1</v>
      </c>
      <c r="K713" s="94">
        <v>5465</v>
      </c>
      <c r="L713" s="95">
        <f t="shared" si="448"/>
        <v>5465</v>
      </c>
      <c r="M713" s="96">
        <f t="shared" si="449"/>
        <v>75</v>
      </c>
      <c r="N713" s="97">
        <v>30</v>
      </c>
      <c r="O713" s="97">
        <f t="shared" si="451"/>
        <v>30</v>
      </c>
      <c r="P713" s="95">
        <f t="shared" si="452"/>
        <v>2250</v>
      </c>
      <c r="Q713" s="98">
        <f t="shared" si="453"/>
        <v>7715</v>
      </c>
      <c r="R713" s="119"/>
    </row>
    <row r="714" spans="1:18" ht="41.4" x14ac:dyDescent="0.3">
      <c r="A714" s="86" t="str">
        <f>IF(TRIM(H714)&lt;&gt;"",COUNTA(H$9:$H714)&amp;"","")</f>
        <v>521</v>
      </c>
      <c r="B714" s="87" t="s">
        <v>713</v>
      </c>
      <c r="C714" s="87" t="s">
        <v>774</v>
      </c>
      <c r="D714" s="88"/>
      <c r="E714" s="100" t="s">
        <v>811</v>
      </c>
      <c r="F714" s="90">
        <v>1</v>
      </c>
      <c r="H714" s="91" t="s">
        <v>239</v>
      </c>
      <c r="I714" s="92">
        <f t="shared" si="445"/>
        <v>0</v>
      </c>
      <c r="J714" s="93">
        <f t="shared" si="446"/>
        <v>1</v>
      </c>
      <c r="K714" s="94">
        <v>20330</v>
      </c>
      <c r="L714" s="95">
        <f t="shared" si="448"/>
        <v>20330</v>
      </c>
      <c r="M714" s="96">
        <f t="shared" si="449"/>
        <v>75</v>
      </c>
      <c r="N714" s="97">
        <v>30</v>
      </c>
      <c r="O714" s="97">
        <f t="shared" si="451"/>
        <v>30</v>
      </c>
      <c r="P714" s="95">
        <f t="shared" si="452"/>
        <v>2250</v>
      </c>
      <c r="Q714" s="98">
        <f t="shared" si="453"/>
        <v>22580</v>
      </c>
      <c r="R714" s="119"/>
    </row>
    <row r="715" spans="1:18" ht="41.4" x14ac:dyDescent="0.3">
      <c r="A715" s="86" t="str">
        <f>IF(TRIM(H715)&lt;&gt;"",COUNTA(H$9:$H715)&amp;"","")</f>
        <v>522</v>
      </c>
      <c r="B715" s="87" t="s">
        <v>713</v>
      </c>
      <c r="C715" s="87" t="s">
        <v>774</v>
      </c>
      <c r="D715" s="88"/>
      <c r="E715" s="100" t="s">
        <v>812</v>
      </c>
      <c r="F715" s="90">
        <v>1</v>
      </c>
      <c r="H715" s="91" t="s">
        <v>239</v>
      </c>
      <c r="I715" s="92">
        <f t="shared" si="445"/>
        <v>0</v>
      </c>
      <c r="J715" s="93">
        <f t="shared" si="446"/>
        <v>1</v>
      </c>
      <c r="K715" s="94">
        <v>420</v>
      </c>
      <c r="L715" s="95">
        <f t="shared" si="448"/>
        <v>420</v>
      </c>
      <c r="M715" s="96">
        <f t="shared" si="449"/>
        <v>75</v>
      </c>
      <c r="N715" s="97">
        <v>2.625</v>
      </c>
      <c r="O715" s="97">
        <f t="shared" si="451"/>
        <v>2.625</v>
      </c>
      <c r="P715" s="95">
        <f t="shared" si="452"/>
        <v>196.875</v>
      </c>
      <c r="Q715" s="98">
        <f t="shared" si="453"/>
        <v>616.875</v>
      </c>
      <c r="R715" s="119"/>
    </row>
    <row r="716" spans="1:18" ht="41.4" x14ac:dyDescent="0.3">
      <c r="A716" s="86" t="str">
        <f>IF(TRIM(H716)&lt;&gt;"",COUNTA(H$9:$H716)&amp;"","")</f>
        <v>523</v>
      </c>
      <c r="B716" s="87" t="s">
        <v>713</v>
      </c>
      <c r="C716" s="87" t="s">
        <v>774</v>
      </c>
      <c r="D716" s="88"/>
      <c r="E716" s="100" t="s">
        <v>813</v>
      </c>
      <c r="F716" s="90">
        <v>1</v>
      </c>
      <c r="H716" s="91" t="s">
        <v>239</v>
      </c>
      <c r="I716" s="92">
        <f t="shared" si="445"/>
        <v>0</v>
      </c>
      <c r="J716" s="93">
        <f t="shared" si="446"/>
        <v>1</v>
      </c>
      <c r="K716" s="94">
        <v>420</v>
      </c>
      <c r="L716" s="95">
        <f t="shared" si="448"/>
        <v>420</v>
      </c>
      <c r="M716" s="96">
        <f t="shared" si="449"/>
        <v>75</v>
      </c>
      <c r="N716" s="97">
        <v>2.625</v>
      </c>
      <c r="O716" s="97">
        <f t="shared" si="451"/>
        <v>2.625</v>
      </c>
      <c r="P716" s="95">
        <f t="shared" si="452"/>
        <v>196.875</v>
      </c>
      <c r="Q716" s="98">
        <f t="shared" si="453"/>
        <v>616.875</v>
      </c>
      <c r="R716" s="119"/>
    </row>
    <row r="717" spans="1:18" x14ac:dyDescent="0.3">
      <c r="A717" s="86" t="str">
        <f>IF(TRIM(H717)&lt;&gt;"",COUNTA(H$9:$H717)&amp;"","")</f>
        <v/>
      </c>
      <c r="B717" s="87"/>
      <c r="C717" s="87"/>
      <c r="D717" s="88"/>
      <c r="E717" s="100"/>
      <c r="F717" s="90"/>
      <c r="H717" s="91"/>
      <c r="I717" s="92" t="str">
        <f t="shared" si="445"/>
        <v/>
      </c>
      <c r="J717" s="93" t="str">
        <f t="shared" si="446"/>
        <v/>
      </c>
      <c r="K717" s="94" t="s">
        <v>549</v>
      </c>
      <c r="L717" s="95" t="str">
        <f t="shared" si="448"/>
        <v/>
      </c>
      <c r="M717" s="96" t="str">
        <f t="shared" si="449"/>
        <v/>
      </c>
      <c r="N717" s="97" t="s">
        <v>549</v>
      </c>
      <c r="O717" s="97" t="str">
        <f t="shared" si="451"/>
        <v/>
      </c>
      <c r="P717" s="95" t="str">
        <f t="shared" si="452"/>
        <v/>
      </c>
      <c r="Q717" s="98" t="str">
        <f t="shared" si="453"/>
        <v/>
      </c>
      <c r="R717" s="119"/>
    </row>
    <row r="718" spans="1:18" ht="15.6" x14ac:dyDescent="0.3">
      <c r="A718" s="86" t="str">
        <f>IF(TRIM(H718)&lt;&gt;"",COUNTA(H$9:$H718)&amp;"","")</f>
        <v/>
      </c>
      <c r="B718" s="87"/>
      <c r="C718" s="87"/>
      <c r="D718" s="88"/>
      <c r="E718" s="164" t="s">
        <v>814</v>
      </c>
      <c r="F718" s="90"/>
      <c r="H718" s="91"/>
      <c r="I718" s="92" t="str">
        <f>IF(F718=0,"",0)</f>
        <v/>
      </c>
      <c r="J718" s="93" t="str">
        <f>IF(F718=0,"",F718+(F718*I718))</f>
        <v/>
      </c>
      <c r="K718" s="94" t="s">
        <v>549</v>
      </c>
      <c r="L718" s="95" t="str">
        <f>IF(F718=0,"",K718*J718)</f>
        <v/>
      </c>
      <c r="M718" s="96" t="str">
        <f>IF(F718=0,"",M$7)</f>
        <v/>
      </c>
      <c r="N718" s="97" t="s">
        <v>549</v>
      </c>
      <c r="O718" s="97" t="str">
        <f>IF(F718=0,"",N718*J718)</f>
        <v/>
      </c>
      <c r="P718" s="95" t="str">
        <f>IF(F718=0,"",O718*M718)</f>
        <v/>
      </c>
      <c r="Q718" s="98" t="str">
        <f>IF(F718=0,"",L718+P718)</f>
        <v/>
      </c>
      <c r="R718" s="119"/>
    </row>
    <row r="719" spans="1:18" ht="27.6" x14ac:dyDescent="0.3">
      <c r="A719" s="86" t="str">
        <f>IF(TRIM(H719)&lt;&gt;"",COUNTA(H$9:$H719)&amp;"","")</f>
        <v>524</v>
      </c>
      <c r="B719" s="87" t="s">
        <v>713</v>
      </c>
      <c r="C719" s="87" t="s">
        <v>713</v>
      </c>
      <c r="D719" s="88"/>
      <c r="E719" s="100" t="s">
        <v>815</v>
      </c>
      <c r="F719" s="90">
        <v>74.125</v>
      </c>
      <c r="H719" s="91" t="s">
        <v>239</v>
      </c>
      <c r="I719" s="92">
        <f t="shared" ref="I719:I722" si="468">IF(F719=0,"",0)</f>
        <v>0</v>
      </c>
      <c r="J719" s="93">
        <f t="shared" ref="J719:J722" si="469">IF(F719=0,"",F719+(F719*I719))</f>
        <v>74.125</v>
      </c>
      <c r="K719" s="94">
        <v>36</v>
      </c>
      <c r="L719" s="95">
        <f t="shared" ref="L719:L722" si="470">IF(F719=0,"",K719*J719)</f>
        <v>2668.5</v>
      </c>
      <c r="M719" s="96">
        <f>IF(F719=0,"",M$7)</f>
        <v>75</v>
      </c>
      <c r="N719" s="97">
        <v>0.22500000000000001</v>
      </c>
      <c r="O719" s="97">
        <f t="shared" ref="O719:O722" si="471">IF(F719=0,"",N719*J719)</f>
        <v>16.678125000000001</v>
      </c>
      <c r="P719" s="95">
        <f t="shared" ref="P719:P722" si="472">IF(F719=0,"",O719*M719)</f>
        <v>1250.859375</v>
      </c>
      <c r="Q719" s="98">
        <f t="shared" ref="Q719:Q722" si="473">IF(F719=0,"",L719+P719)</f>
        <v>3919.359375</v>
      </c>
      <c r="R719" s="119"/>
    </row>
    <row r="720" spans="1:18" x14ac:dyDescent="0.3">
      <c r="A720" s="86" t="str">
        <f>IF(TRIM(H720)&lt;&gt;"",COUNTA(H$9:$H720)&amp;"","")</f>
        <v/>
      </c>
      <c r="B720" s="87"/>
      <c r="C720" s="87"/>
      <c r="D720" s="88"/>
      <c r="E720" s="89"/>
      <c r="F720" s="90"/>
      <c r="H720" s="91"/>
      <c r="I720" s="92" t="str">
        <f t="shared" si="468"/>
        <v/>
      </c>
      <c r="J720" s="93" t="str">
        <f t="shared" si="469"/>
        <v/>
      </c>
      <c r="K720" s="94" t="s">
        <v>549</v>
      </c>
      <c r="L720" s="95" t="str">
        <f t="shared" si="470"/>
        <v/>
      </c>
      <c r="M720" s="96" t="str">
        <f>IF(F720=0,"",M$7)</f>
        <v/>
      </c>
      <c r="N720" s="97" t="s">
        <v>549</v>
      </c>
      <c r="O720" s="97" t="str">
        <f t="shared" si="471"/>
        <v/>
      </c>
      <c r="P720" s="95" t="str">
        <f t="shared" si="472"/>
        <v/>
      </c>
      <c r="Q720" s="98" t="str">
        <f t="shared" si="473"/>
        <v/>
      </c>
      <c r="R720" s="119"/>
    </row>
    <row r="721" spans="1:18" ht="15.6" x14ac:dyDescent="0.3">
      <c r="A721" s="86" t="str">
        <f>IF(TRIM(H721)&lt;&gt;"",COUNTA(H$9:$H721)&amp;"","")</f>
        <v/>
      </c>
      <c r="B721" s="87"/>
      <c r="C721" s="87"/>
      <c r="D721" s="88"/>
      <c r="E721" s="164" t="s">
        <v>200</v>
      </c>
      <c r="F721" s="90"/>
      <c r="H721" s="91"/>
      <c r="I721" s="92" t="str">
        <f t="shared" si="468"/>
        <v/>
      </c>
      <c r="J721" s="93" t="str">
        <f t="shared" si="469"/>
        <v/>
      </c>
      <c r="K721" s="94" t="s">
        <v>549</v>
      </c>
      <c r="L721" s="95" t="str">
        <f t="shared" si="470"/>
        <v/>
      </c>
      <c r="M721" s="96" t="str">
        <f>IF(F721=0,"",M$7)</f>
        <v/>
      </c>
      <c r="N721" s="97" t="s">
        <v>549</v>
      </c>
      <c r="O721" s="97" t="str">
        <f t="shared" si="471"/>
        <v/>
      </c>
      <c r="P721" s="95" t="str">
        <f t="shared" si="472"/>
        <v/>
      </c>
      <c r="Q721" s="98" t="str">
        <f t="shared" si="473"/>
        <v/>
      </c>
      <c r="R721" s="119"/>
    </row>
    <row r="722" spans="1:18" ht="27.6" x14ac:dyDescent="0.3">
      <c r="A722" s="86" t="str">
        <f>IF(TRIM(H722)&lt;&gt;"",COUNTA(H$9:$H722)&amp;"","")</f>
        <v>525</v>
      </c>
      <c r="B722" s="87" t="s">
        <v>713</v>
      </c>
      <c r="C722" s="87" t="s">
        <v>713</v>
      </c>
      <c r="D722" s="88"/>
      <c r="E722" s="89" t="s">
        <v>816</v>
      </c>
      <c r="F722" s="90">
        <v>3670</v>
      </c>
      <c r="H722" s="91" t="s">
        <v>184</v>
      </c>
      <c r="I722" s="92">
        <f t="shared" si="468"/>
        <v>0</v>
      </c>
      <c r="J722" s="93">
        <f t="shared" si="469"/>
        <v>3670</v>
      </c>
      <c r="K722" s="94">
        <v>3.3</v>
      </c>
      <c r="L722" s="95">
        <f t="shared" si="470"/>
        <v>12111</v>
      </c>
      <c r="M722" s="96">
        <f>IF(F722=0,"",M$7)</f>
        <v>75</v>
      </c>
      <c r="N722" s="97">
        <v>5.5000000000000007E-2</v>
      </c>
      <c r="O722" s="97">
        <f t="shared" si="471"/>
        <v>201.85000000000002</v>
      </c>
      <c r="P722" s="95">
        <f t="shared" si="472"/>
        <v>15138.750000000002</v>
      </c>
      <c r="Q722" s="98">
        <f t="shared" si="473"/>
        <v>27249.75</v>
      </c>
      <c r="R722" s="119"/>
    </row>
    <row r="723" spans="1:18" ht="15" thickBot="1" x14ac:dyDescent="0.35">
      <c r="A723" s="86" t="str">
        <f>IF(TRIM(H723)&lt;&gt;"",COUNTA(H$9:$H723)&amp;"","")</f>
        <v/>
      </c>
      <c r="B723" s="101"/>
      <c r="C723" s="101"/>
      <c r="D723" s="88"/>
      <c r="E723" s="102"/>
      <c r="F723" s="90"/>
      <c r="H723" s="91"/>
      <c r="I723" s="92" t="str">
        <f t="shared" si="445"/>
        <v/>
      </c>
      <c r="J723" s="93" t="str">
        <f t="shared" si="446"/>
        <v/>
      </c>
      <c r="K723" s="94" t="str">
        <f t="shared" si="447"/>
        <v/>
      </c>
      <c r="L723" s="95" t="str">
        <f t="shared" si="448"/>
        <v/>
      </c>
      <c r="M723" s="96" t="str">
        <f t="shared" si="449"/>
        <v/>
      </c>
      <c r="N723" s="97" t="str">
        <f t="shared" si="450"/>
        <v/>
      </c>
      <c r="O723" s="97" t="str">
        <f t="shared" si="451"/>
        <v/>
      </c>
      <c r="P723" s="95" t="str">
        <f t="shared" si="452"/>
        <v/>
      </c>
      <c r="Q723" s="98" t="str">
        <f t="shared" si="453"/>
        <v/>
      </c>
      <c r="R723" s="119"/>
    </row>
    <row r="724" spans="1:18" s="114" customFormat="1" ht="16.2" thickBot="1" x14ac:dyDescent="0.35">
      <c r="A724" s="86" t="str">
        <f>IF(TRIM(H724)&lt;&gt;"",COUNTA(H$9:$H724)&amp;"","")</f>
        <v/>
      </c>
      <c r="B724" s="121"/>
      <c r="C724" s="121"/>
      <c r="D724" s="122"/>
      <c r="E724" s="105"/>
      <c r="F724" s="90"/>
      <c r="H724" s="123"/>
      <c r="I724" s="108" t="s">
        <v>12</v>
      </c>
      <c r="J724" s="109"/>
      <c r="K724" s="110">
        <f>SUM(L$600:L$723)</f>
        <v>110105.64840000001</v>
      </c>
      <c r="L724" s="190" t="s">
        <v>13</v>
      </c>
      <c r="M724" s="191"/>
      <c r="N724" s="111">
        <f>SUM(P$600:P$723)</f>
        <v>52346.982375</v>
      </c>
      <c r="O724" s="190" t="s">
        <v>42</v>
      </c>
      <c r="P724" s="191"/>
      <c r="Q724" s="112">
        <f>SUM(O$600:O$723)</f>
        <v>697.95976500000006</v>
      </c>
      <c r="R724" s="113">
        <f>SUM(Q$600:Q$723)</f>
        <v>162452.630775</v>
      </c>
    </row>
    <row r="725" spans="1:18" s="171" customFormat="1" ht="20.100000000000001" customHeight="1" x14ac:dyDescent="0.3">
      <c r="A725" s="167" t="str">
        <f>IF(TRIM(H725)&lt;&gt;"",COUNTA(H$9:$H725)&amp;"","")</f>
        <v/>
      </c>
      <c r="B725" s="168"/>
      <c r="C725" s="168"/>
      <c r="D725" s="169">
        <v>260000</v>
      </c>
      <c r="E725" s="169" t="s">
        <v>176</v>
      </c>
      <c r="F725" s="170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72"/>
    </row>
    <row r="726" spans="1:18" ht="15.6" x14ac:dyDescent="0.3">
      <c r="A726" s="86" t="str">
        <f>IF(TRIM(H726)&lt;&gt;"",COUNTA(H$9:$H726)&amp;"","")</f>
        <v/>
      </c>
      <c r="B726" s="87"/>
      <c r="C726" s="87"/>
      <c r="D726" s="88"/>
      <c r="E726" s="164" t="s">
        <v>187</v>
      </c>
      <c r="F726" s="90"/>
      <c r="H726" s="91"/>
      <c r="I726" s="92" t="str">
        <f t="shared" ref="I726:I895" si="474">IF(F726=0,"",0)</f>
        <v/>
      </c>
      <c r="J726" s="93" t="str">
        <f t="shared" ref="J726:J895" si="475">IF(F726=0,"",F726+(F726*I726))</f>
        <v/>
      </c>
      <c r="K726" s="94" t="str">
        <f t="shared" ref="K726:K895" si="476">IF(F726=0,"",0)</f>
        <v/>
      </c>
      <c r="L726" s="95" t="str">
        <f t="shared" ref="L726:L895" si="477">IF(F726=0,"",K726*J726)</f>
        <v/>
      </c>
      <c r="M726" s="96" t="str">
        <f t="shared" ref="M726:M895" si="478">IF(F726=0,"",M$7)</f>
        <v/>
      </c>
      <c r="N726" s="97" t="str">
        <f t="shared" ref="N726:N895" si="479">IF(F726=0,"",0)</f>
        <v/>
      </c>
      <c r="O726" s="97" t="str">
        <f t="shared" ref="O726:O895" si="480">IF(F726=0,"",N726*J726)</f>
        <v/>
      </c>
      <c r="P726" s="95" t="str">
        <f t="shared" ref="P726:P895" si="481">IF(F726=0,"",O726*M726)</f>
        <v/>
      </c>
      <c r="Q726" s="98" t="str">
        <f t="shared" ref="Q726:Q895" si="482">IF(F726=0,"",L726+P726)</f>
        <v/>
      </c>
      <c r="R726" s="119"/>
    </row>
    <row r="727" spans="1:18" x14ac:dyDescent="0.3">
      <c r="A727" s="86" t="str">
        <f>IF(TRIM(H727)&lt;&gt;"",COUNTA(H$9:$H727)&amp;"","")</f>
        <v/>
      </c>
      <c r="B727" s="87"/>
      <c r="C727" s="87"/>
      <c r="D727" s="88"/>
      <c r="E727" s="125" t="s">
        <v>188</v>
      </c>
      <c r="F727" s="90"/>
      <c r="H727" s="91"/>
      <c r="I727" s="92" t="str">
        <f t="shared" si="474"/>
        <v/>
      </c>
      <c r="J727" s="93" t="str">
        <f t="shared" si="475"/>
        <v/>
      </c>
      <c r="K727" s="94" t="str">
        <f t="shared" si="476"/>
        <v/>
      </c>
      <c r="L727" s="95" t="str">
        <f t="shared" si="477"/>
        <v/>
      </c>
      <c r="M727" s="96" t="str">
        <f t="shared" si="478"/>
        <v/>
      </c>
      <c r="N727" s="97" t="str">
        <f t="shared" si="479"/>
        <v/>
      </c>
      <c r="O727" s="97" t="str">
        <f t="shared" si="480"/>
        <v/>
      </c>
      <c r="P727" s="95" t="str">
        <f t="shared" si="481"/>
        <v/>
      </c>
      <c r="Q727" s="98" t="str">
        <f t="shared" si="482"/>
        <v/>
      </c>
      <c r="R727" s="119"/>
    </row>
    <row r="728" spans="1:18" x14ac:dyDescent="0.3">
      <c r="A728" s="86" t="str">
        <f>IF(TRIM(H728)&lt;&gt;"",COUNTA(H$9:$H728)&amp;"","")</f>
        <v>526</v>
      </c>
      <c r="B728" s="87" t="s">
        <v>817</v>
      </c>
      <c r="C728" s="87" t="s">
        <v>817</v>
      </c>
      <c r="D728" s="88"/>
      <c r="E728" s="89" t="s">
        <v>818</v>
      </c>
      <c r="F728" s="90">
        <v>51.21</v>
      </c>
      <c r="H728" s="91" t="s">
        <v>210</v>
      </c>
      <c r="I728" s="92">
        <v>0.1</v>
      </c>
      <c r="J728" s="93">
        <f t="shared" si="475"/>
        <v>56.331000000000003</v>
      </c>
      <c r="K728" s="94">
        <v>6.6420000000000003</v>
      </c>
      <c r="L728" s="95">
        <f t="shared" si="477"/>
        <v>374.15050200000002</v>
      </c>
      <c r="M728" s="96">
        <f t="shared" si="478"/>
        <v>75</v>
      </c>
      <c r="N728" s="97">
        <v>0.11069999999999999</v>
      </c>
      <c r="O728" s="97">
        <f t="shared" si="480"/>
        <v>6.2358416999999999</v>
      </c>
      <c r="P728" s="95">
        <f t="shared" si="481"/>
        <v>467.68812750000001</v>
      </c>
      <c r="Q728" s="98">
        <f t="shared" si="482"/>
        <v>841.83862950000002</v>
      </c>
      <c r="R728" s="119"/>
    </row>
    <row r="729" spans="1:18" x14ac:dyDescent="0.3">
      <c r="A729" s="86" t="str">
        <f>IF(TRIM(H729)&lt;&gt;"",COUNTA(H$9:$H729)&amp;"","")</f>
        <v>527</v>
      </c>
      <c r="B729" s="87" t="s">
        <v>817</v>
      </c>
      <c r="C729" s="87" t="s">
        <v>817</v>
      </c>
      <c r="D729" s="88"/>
      <c r="E729" s="89" t="s">
        <v>819</v>
      </c>
      <c r="F729" s="90">
        <v>131.87</v>
      </c>
      <c r="H729" s="91" t="s">
        <v>210</v>
      </c>
      <c r="I729" s="92">
        <v>0.1</v>
      </c>
      <c r="J729" s="93">
        <f t="shared" si="475"/>
        <v>145.05700000000002</v>
      </c>
      <c r="K729" s="94">
        <v>7.379999999999999</v>
      </c>
      <c r="L729" s="95">
        <f t="shared" si="477"/>
        <v>1070.5206599999999</v>
      </c>
      <c r="M729" s="96">
        <f t="shared" si="478"/>
        <v>75</v>
      </c>
      <c r="N729" s="97">
        <v>0.123</v>
      </c>
      <c r="O729" s="97">
        <f t="shared" si="480"/>
        <v>17.842011000000003</v>
      </c>
      <c r="P729" s="95">
        <f t="shared" si="481"/>
        <v>1338.1508250000002</v>
      </c>
      <c r="Q729" s="98">
        <f t="shared" si="482"/>
        <v>2408.6714849999998</v>
      </c>
      <c r="R729" s="119"/>
    </row>
    <row r="730" spans="1:18" x14ac:dyDescent="0.3">
      <c r="A730" s="86" t="str">
        <f>IF(TRIM(H730)&lt;&gt;"",COUNTA(H$9:$H730)&amp;"","")</f>
        <v/>
      </c>
      <c r="B730" s="87"/>
      <c r="C730" s="87"/>
      <c r="D730" s="88"/>
      <c r="E730" s="100"/>
      <c r="F730" s="90"/>
      <c r="H730" s="91"/>
      <c r="I730" s="92" t="str">
        <f t="shared" si="474"/>
        <v/>
      </c>
      <c r="J730" s="93" t="str">
        <f t="shared" si="475"/>
        <v/>
      </c>
      <c r="K730" s="94" t="s">
        <v>549</v>
      </c>
      <c r="L730" s="95" t="str">
        <f t="shared" si="477"/>
        <v/>
      </c>
      <c r="M730" s="96" t="str">
        <f t="shared" si="478"/>
        <v/>
      </c>
      <c r="N730" s="97" t="s">
        <v>549</v>
      </c>
      <c r="O730" s="97" t="str">
        <f t="shared" si="480"/>
        <v/>
      </c>
      <c r="P730" s="95" t="str">
        <f t="shared" si="481"/>
        <v/>
      </c>
      <c r="Q730" s="98" t="str">
        <f t="shared" si="482"/>
        <v/>
      </c>
      <c r="R730" s="119"/>
    </row>
    <row r="731" spans="1:18" x14ac:dyDescent="0.3">
      <c r="A731" s="86" t="str">
        <f>IF(TRIM(H731)&lt;&gt;"",COUNTA(H$9:$H731)&amp;"","")</f>
        <v/>
      </c>
      <c r="B731" s="87"/>
      <c r="C731" s="87"/>
      <c r="D731" s="88"/>
      <c r="E731" s="125" t="s">
        <v>820</v>
      </c>
      <c r="F731" s="90"/>
      <c r="H731" s="91"/>
      <c r="I731" s="92" t="str">
        <f t="shared" si="474"/>
        <v/>
      </c>
      <c r="J731" s="93" t="str">
        <f t="shared" si="475"/>
        <v/>
      </c>
      <c r="K731" s="94" t="s">
        <v>549</v>
      </c>
      <c r="L731" s="95" t="str">
        <f t="shared" si="477"/>
        <v/>
      </c>
      <c r="M731" s="96" t="str">
        <f t="shared" si="478"/>
        <v/>
      </c>
      <c r="N731" s="97" t="s">
        <v>549</v>
      </c>
      <c r="O731" s="97" t="str">
        <f t="shared" si="480"/>
        <v/>
      </c>
      <c r="P731" s="95" t="str">
        <f t="shared" si="481"/>
        <v/>
      </c>
      <c r="Q731" s="98" t="str">
        <f t="shared" si="482"/>
        <v/>
      </c>
      <c r="R731" s="119"/>
    </row>
    <row r="732" spans="1:18" x14ac:dyDescent="0.3">
      <c r="A732" s="86" t="str">
        <f>IF(TRIM(H732)&lt;&gt;"",COUNTA(H$9:$H732)&amp;"","")</f>
        <v>528</v>
      </c>
      <c r="B732" s="87" t="s">
        <v>817</v>
      </c>
      <c r="C732" s="87" t="s">
        <v>817</v>
      </c>
      <c r="D732" s="88"/>
      <c r="E732" s="89" t="s">
        <v>821</v>
      </c>
      <c r="F732" s="90">
        <v>409.68</v>
      </c>
      <c r="H732" s="91" t="s">
        <v>210</v>
      </c>
      <c r="I732" s="92">
        <v>0.1</v>
      </c>
      <c r="J732" s="93">
        <f t="shared" si="475"/>
        <v>450.64800000000002</v>
      </c>
      <c r="K732" s="94">
        <v>13.154999999999999</v>
      </c>
      <c r="L732" s="95">
        <f t="shared" si="477"/>
        <v>5928.2744400000001</v>
      </c>
      <c r="M732" s="96">
        <f t="shared" si="478"/>
        <v>75</v>
      </c>
      <c r="N732" s="97">
        <v>0.21925000000000003</v>
      </c>
      <c r="O732" s="97">
        <f t="shared" si="480"/>
        <v>98.804574000000017</v>
      </c>
      <c r="P732" s="95">
        <f t="shared" si="481"/>
        <v>7410.3430500000013</v>
      </c>
      <c r="Q732" s="98">
        <f t="shared" si="482"/>
        <v>13338.617490000001</v>
      </c>
      <c r="R732" s="119"/>
    </row>
    <row r="733" spans="1:18" x14ac:dyDescent="0.3">
      <c r="A733" s="86" t="str">
        <f>IF(TRIM(H733)&lt;&gt;"",COUNTA(H$9:$H733)&amp;"","")</f>
        <v>529</v>
      </c>
      <c r="B733" s="87" t="s">
        <v>817</v>
      </c>
      <c r="C733" s="87" t="s">
        <v>817</v>
      </c>
      <c r="D733" s="88"/>
      <c r="E733" s="89" t="s">
        <v>822</v>
      </c>
      <c r="F733" s="90">
        <v>527.48</v>
      </c>
      <c r="H733" s="91" t="s">
        <v>210</v>
      </c>
      <c r="I733" s="92">
        <v>0.1</v>
      </c>
      <c r="J733" s="93">
        <f t="shared" si="475"/>
        <v>580.22800000000007</v>
      </c>
      <c r="K733" s="94">
        <v>2.3159999999999998</v>
      </c>
      <c r="L733" s="95">
        <f t="shared" si="477"/>
        <v>1343.8080480000001</v>
      </c>
      <c r="M733" s="96">
        <f t="shared" si="478"/>
        <v>75</v>
      </c>
      <c r="N733" s="97">
        <v>3.8600000000000002E-2</v>
      </c>
      <c r="O733" s="97">
        <f t="shared" si="480"/>
        <v>22.396800800000005</v>
      </c>
      <c r="P733" s="95">
        <f t="shared" si="481"/>
        <v>1679.7600600000003</v>
      </c>
      <c r="Q733" s="98">
        <f t="shared" si="482"/>
        <v>3023.5681080000004</v>
      </c>
      <c r="R733" s="119"/>
    </row>
    <row r="734" spans="1:18" x14ac:dyDescent="0.3">
      <c r="A734" s="86" t="str">
        <f>IF(TRIM(H734)&lt;&gt;"",COUNTA(H$9:$H734)&amp;"","")</f>
        <v>530</v>
      </c>
      <c r="B734" s="87" t="s">
        <v>817</v>
      </c>
      <c r="C734" s="87" t="s">
        <v>817</v>
      </c>
      <c r="D734" s="88"/>
      <c r="E734" s="89" t="s">
        <v>823</v>
      </c>
      <c r="F734" s="90">
        <v>51.21</v>
      </c>
      <c r="H734" s="91" t="s">
        <v>210</v>
      </c>
      <c r="I734" s="92">
        <v>0.1</v>
      </c>
      <c r="J734" s="93">
        <f t="shared" si="475"/>
        <v>56.331000000000003</v>
      </c>
      <c r="K734" s="94">
        <v>1.6019999999999999</v>
      </c>
      <c r="L734" s="95">
        <f t="shared" si="477"/>
        <v>90.242261999999997</v>
      </c>
      <c r="M734" s="96">
        <f t="shared" si="478"/>
        <v>75</v>
      </c>
      <c r="N734" s="97">
        <v>2.6700000000000002E-2</v>
      </c>
      <c r="O734" s="97">
        <f t="shared" si="480"/>
        <v>1.5040377000000003</v>
      </c>
      <c r="P734" s="95">
        <f t="shared" si="481"/>
        <v>112.80282750000002</v>
      </c>
      <c r="Q734" s="98">
        <f t="shared" si="482"/>
        <v>203.04508950000002</v>
      </c>
      <c r="R734" s="119"/>
    </row>
    <row r="735" spans="1:18" x14ac:dyDescent="0.3">
      <c r="A735" s="86" t="str">
        <f>IF(TRIM(H735)&lt;&gt;"",COUNTA(H$9:$H735)&amp;"","")</f>
        <v>531</v>
      </c>
      <c r="B735" s="87" t="s">
        <v>817</v>
      </c>
      <c r="C735" s="87" t="s">
        <v>817</v>
      </c>
      <c r="D735" s="88"/>
      <c r="E735" s="89" t="s">
        <v>824</v>
      </c>
      <c r="F735" s="90">
        <v>131.87</v>
      </c>
      <c r="H735" s="91" t="s">
        <v>210</v>
      </c>
      <c r="I735" s="92">
        <v>0.1</v>
      </c>
      <c r="J735" s="93">
        <f t="shared" si="475"/>
        <v>145.05700000000002</v>
      </c>
      <c r="K735" s="94">
        <v>1.089</v>
      </c>
      <c r="L735" s="95">
        <f t="shared" si="477"/>
        <v>157.967073</v>
      </c>
      <c r="M735" s="96">
        <f t="shared" si="478"/>
        <v>75</v>
      </c>
      <c r="N735" s="97">
        <v>1.8149999999999999E-2</v>
      </c>
      <c r="O735" s="97">
        <f t="shared" si="480"/>
        <v>2.6327845500000002</v>
      </c>
      <c r="P735" s="95">
        <f t="shared" si="481"/>
        <v>197.45884125000001</v>
      </c>
      <c r="Q735" s="98">
        <f t="shared" si="482"/>
        <v>355.42591425000001</v>
      </c>
      <c r="R735" s="119"/>
    </row>
    <row r="736" spans="1:18" x14ac:dyDescent="0.3">
      <c r="A736" s="86" t="str">
        <f>IF(TRIM(H736)&lt;&gt;"",COUNTA(H$9:$H736)&amp;"","")</f>
        <v/>
      </c>
      <c r="B736" s="87"/>
      <c r="C736" s="87"/>
      <c r="D736" s="88"/>
      <c r="E736" s="89"/>
      <c r="F736" s="90"/>
      <c r="H736" s="91"/>
      <c r="I736" s="92"/>
      <c r="J736" s="93"/>
      <c r="K736" s="94" t="s">
        <v>549</v>
      </c>
      <c r="L736" s="95"/>
      <c r="M736" s="96"/>
      <c r="N736" s="97" t="s">
        <v>549</v>
      </c>
      <c r="O736" s="97"/>
      <c r="P736" s="95"/>
      <c r="Q736" s="98"/>
      <c r="R736" s="119"/>
    </row>
    <row r="737" spans="1:18" x14ac:dyDescent="0.3">
      <c r="A737" s="86" t="str">
        <f>IF(TRIM(H737)&lt;&gt;"",COUNTA(H$9:$H737)&amp;"","")</f>
        <v/>
      </c>
      <c r="B737" s="87"/>
      <c r="C737" s="87"/>
      <c r="D737" s="88"/>
      <c r="E737" s="125" t="s">
        <v>189</v>
      </c>
      <c r="F737" s="90"/>
      <c r="H737" s="91"/>
      <c r="I737" s="92" t="str">
        <f t="shared" ref="I737" si="483">IF(F737=0,"",0)</f>
        <v/>
      </c>
      <c r="J737" s="93" t="str">
        <f t="shared" ref="J737:J740" si="484">IF(F737=0,"",F737+(F737*I737))</f>
        <v/>
      </c>
      <c r="K737" s="94" t="s">
        <v>549</v>
      </c>
      <c r="L737" s="95" t="str">
        <f t="shared" ref="L737:L740" si="485">IF(F737=0,"",K737*J737)</f>
        <v/>
      </c>
      <c r="M737" s="96" t="str">
        <f t="shared" ref="M737:M740" si="486">IF(F737=0,"",M$7)</f>
        <v/>
      </c>
      <c r="N737" s="97" t="s">
        <v>549</v>
      </c>
      <c r="O737" s="97" t="str">
        <f t="shared" ref="O737:O740" si="487">IF(F737=0,"",N737*J737)</f>
        <v/>
      </c>
      <c r="P737" s="95" t="str">
        <f t="shared" ref="P737:P740" si="488">IF(F737=0,"",O737*M737)</f>
        <v/>
      </c>
      <c r="Q737" s="98" t="str">
        <f t="shared" ref="Q737:Q740" si="489">IF(F737=0,"",L737+P737)</f>
        <v/>
      </c>
      <c r="R737" s="119"/>
    </row>
    <row r="738" spans="1:18" x14ac:dyDescent="0.3">
      <c r="A738" s="86" t="str">
        <f>IF(TRIM(H738)&lt;&gt;"",COUNTA(H$9:$H738)&amp;"","")</f>
        <v>532</v>
      </c>
      <c r="B738" s="87" t="s">
        <v>817</v>
      </c>
      <c r="C738" s="87" t="s">
        <v>817</v>
      </c>
      <c r="D738" s="88"/>
      <c r="E738" s="89" t="s">
        <v>825</v>
      </c>
      <c r="F738" s="90">
        <v>261.18</v>
      </c>
      <c r="H738" s="91" t="s">
        <v>210</v>
      </c>
      <c r="I738" s="92">
        <v>0.1</v>
      </c>
      <c r="J738" s="93">
        <f t="shared" si="484"/>
        <v>287.298</v>
      </c>
      <c r="K738" s="94">
        <v>0.72599999999999998</v>
      </c>
      <c r="L738" s="95">
        <f t="shared" si="485"/>
        <v>208.57834800000001</v>
      </c>
      <c r="M738" s="96">
        <f t="shared" si="486"/>
        <v>75</v>
      </c>
      <c r="N738" s="97">
        <v>1.21E-2</v>
      </c>
      <c r="O738" s="97">
        <f t="shared" si="487"/>
        <v>3.4763058</v>
      </c>
      <c r="P738" s="95">
        <f t="shared" si="488"/>
        <v>260.72293500000001</v>
      </c>
      <c r="Q738" s="98">
        <f t="shared" si="489"/>
        <v>469.30128300000001</v>
      </c>
      <c r="R738" s="119"/>
    </row>
    <row r="739" spans="1:18" x14ac:dyDescent="0.3">
      <c r="A739" s="86" t="str">
        <f>IF(TRIM(H739)&lt;&gt;"",COUNTA(H$9:$H739)&amp;"","")</f>
        <v>533</v>
      </c>
      <c r="B739" s="87" t="s">
        <v>817</v>
      </c>
      <c r="C739" s="87" t="s">
        <v>817</v>
      </c>
      <c r="D739" s="88"/>
      <c r="E739" s="89" t="s">
        <v>826</v>
      </c>
      <c r="F739" s="90">
        <v>1</v>
      </c>
      <c r="H739" s="91" t="s">
        <v>239</v>
      </c>
      <c r="I739" s="92">
        <v>0</v>
      </c>
      <c r="J739" s="93">
        <f t="shared" si="484"/>
        <v>1</v>
      </c>
      <c r="K739" s="94">
        <v>24</v>
      </c>
      <c r="L739" s="95">
        <f t="shared" si="485"/>
        <v>24</v>
      </c>
      <c r="M739" s="96">
        <f t="shared" si="486"/>
        <v>75</v>
      </c>
      <c r="N739" s="97">
        <v>0.15</v>
      </c>
      <c r="O739" s="97">
        <f t="shared" si="487"/>
        <v>0.15</v>
      </c>
      <c r="P739" s="95">
        <f t="shared" si="488"/>
        <v>11.25</v>
      </c>
      <c r="Q739" s="98">
        <f t="shared" si="489"/>
        <v>35.25</v>
      </c>
      <c r="R739" s="119"/>
    </row>
    <row r="740" spans="1:18" x14ac:dyDescent="0.3">
      <c r="A740" s="86" t="str">
        <f>IF(TRIM(H740)&lt;&gt;"",COUNTA(H$9:$H740)&amp;"","")</f>
        <v>534</v>
      </c>
      <c r="B740" s="87" t="s">
        <v>817</v>
      </c>
      <c r="C740" s="87" t="s">
        <v>817</v>
      </c>
      <c r="D740" s="88"/>
      <c r="E740" s="89" t="s">
        <v>827</v>
      </c>
      <c r="F740" s="90">
        <v>33</v>
      </c>
      <c r="H740" s="91" t="s">
        <v>239</v>
      </c>
      <c r="I740" s="92">
        <v>0</v>
      </c>
      <c r="J740" s="93">
        <f t="shared" si="484"/>
        <v>33</v>
      </c>
      <c r="K740" s="94">
        <v>80</v>
      </c>
      <c r="L740" s="95">
        <f t="shared" si="485"/>
        <v>2640</v>
      </c>
      <c r="M740" s="96">
        <f t="shared" si="486"/>
        <v>75</v>
      </c>
      <c r="N740" s="97">
        <v>0.5</v>
      </c>
      <c r="O740" s="97">
        <f t="shared" si="487"/>
        <v>16.5</v>
      </c>
      <c r="P740" s="95">
        <f t="shared" si="488"/>
        <v>1237.5</v>
      </c>
      <c r="Q740" s="98">
        <f t="shared" si="489"/>
        <v>3877.5</v>
      </c>
      <c r="R740" s="119"/>
    </row>
    <row r="741" spans="1:18" x14ac:dyDescent="0.3">
      <c r="A741" s="86" t="str">
        <f>IF(TRIM(H741)&lt;&gt;"",COUNTA(H$9:$H741)&amp;"","")</f>
        <v/>
      </c>
      <c r="B741" s="87"/>
      <c r="C741" s="87"/>
      <c r="D741" s="88"/>
      <c r="E741" s="89"/>
      <c r="F741" s="90"/>
      <c r="H741" s="91"/>
      <c r="I741" s="92"/>
      <c r="J741" s="93"/>
      <c r="K741" s="94" t="s">
        <v>549</v>
      </c>
      <c r="L741" s="95"/>
      <c r="M741" s="96"/>
      <c r="N741" s="97" t="s">
        <v>549</v>
      </c>
      <c r="O741" s="97"/>
      <c r="P741" s="95"/>
      <c r="Q741" s="98"/>
      <c r="R741" s="119"/>
    </row>
    <row r="742" spans="1:18" x14ac:dyDescent="0.3">
      <c r="A742" s="86" t="str">
        <f>IF(TRIM(H742)&lt;&gt;"",COUNTA(H$9:$H742)&amp;"","")</f>
        <v/>
      </c>
      <c r="B742" s="87"/>
      <c r="C742" s="87"/>
      <c r="D742" s="88"/>
      <c r="E742" s="125" t="s">
        <v>828</v>
      </c>
      <c r="F742" s="90"/>
      <c r="H742" s="91"/>
      <c r="I742" s="92" t="str">
        <f t="shared" ref="I742" si="490">IF(F742=0,"",0)</f>
        <v/>
      </c>
      <c r="J742" s="93" t="str">
        <f t="shared" ref="J742:J744" si="491">IF(F742=0,"",F742+(F742*I742))</f>
        <v/>
      </c>
      <c r="K742" s="94" t="s">
        <v>549</v>
      </c>
      <c r="L742" s="95" t="str">
        <f t="shared" ref="L742:L744" si="492">IF(F742=0,"",K742*J742)</f>
        <v/>
      </c>
      <c r="M742" s="96" t="str">
        <f t="shared" ref="M742:M744" si="493">IF(F742=0,"",M$7)</f>
        <v/>
      </c>
      <c r="N742" s="97" t="s">
        <v>549</v>
      </c>
      <c r="O742" s="97" t="str">
        <f t="shared" ref="O742:O744" si="494">IF(F742=0,"",N742*J742)</f>
        <v/>
      </c>
      <c r="P742" s="95" t="str">
        <f t="shared" ref="P742:P744" si="495">IF(F742=0,"",O742*M742)</f>
        <v/>
      </c>
      <c r="Q742" s="98" t="str">
        <f t="shared" ref="Q742:Q744" si="496">IF(F742=0,"",L742+P742)</f>
        <v/>
      </c>
      <c r="R742" s="119"/>
    </row>
    <row r="743" spans="1:18" x14ac:dyDescent="0.3">
      <c r="A743" s="86" t="str">
        <f>IF(TRIM(H743)&lt;&gt;"",COUNTA(H$9:$H743)&amp;"","")</f>
        <v>535</v>
      </c>
      <c r="B743" s="87" t="s">
        <v>817</v>
      </c>
      <c r="C743" s="87" t="s">
        <v>817</v>
      </c>
      <c r="D743" s="88"/>
      <c r="E743" s="89" t="s">
        <v>829</v>
      </c>
      <c r="F743" s="90">
        <v>1</v>
      </c>
      <c r="H743" s="91" t="s">
        <v>239</v>
      </c>
      <c r="I743" s="92">
        <v>0</v>
      </c>
      <c r="J743" s="93">
        <f t="shared" si="491"/>
        <v>1</v>
      </c>
      <c r="K743" s="94">
        <v>8400</v>
      </c>
      <c r="L743" s="95">
        <f t="shared" si="492"/>
        <v>8400</v>
      </c>
      <c r="M743" s="96">
        <f t="shared" si="493"/>
        <v>75</v>
      </c>
      <c r="N743" s="97">
        <v>27.5</v>
      </c>
      <c r="O743" s="97">
        <f t="shared" si="494"/>
        <v>27.5</v>
      </c>
      <c r="P743" s="95">
        <f t="shared" si="495"/>
        <v>2062.5</v>
      </c>
      <c r="Q743" s="98">
        <f t="shared" si="496"/>
        <v>10462.5</v>
      </c>
      <c r="R743" s="119"/>
    </row>
    <row r="744" spans="1:18" x14ac:dyDescent="0.3">
      <c r="A744" s="86" t="str">
        <f>IF(TRIM(H744)&lt;&gt;"",COUNTA(H$9:$H744)&amp;"","")</f>
        <v>536</v>
      </c>
      <c r="B744" s="87" t="s">
        <v>817</v>
      </c>
      <c r="C744" s="87" t="s">
        <v>817</v>
      </c>
      <c r="D744" s="88"/>
      <c r="E744" s="89" t="s">
        <v>830</v>
      </c>
      <c r="F744" s="90">
        <v>1</v>
      </c>
      <c r="H744" s="91" t="s">
        <v>239</v>
      </c>
      <c r="I744" s="92">
        <v>0</v>
      </c>
      <c r="J744" s="93">
        <f t="shared" si="491"/>
        <v>1</v>
      </c>
      <c r="K744" s="94">
        <v>4400</v>
      </c>
      <c r="L744" s="95">
        <f t="shared" si="492"/>
        <v>4400</v>
      </c>
      <c r="M744" s="96">
        <f t="shared" si="493"/>
        <v>75</v>
      </c>
      <c r="N744" s="97">
        <v>27.5</v>
      </c>
      <c r="O744" s="97">
        <f t="shared" si="494"/>
        <v>27.5</v>
      </c>
      <c r="P744" s="95">
        <f t="shared" si="495"/>
        <v>2062.5</v>
      </c>
      <c r="Q744" s="98">
        <f t="shared" si="496"/>
        <v>6462.5</v>
      </c>
      <c r="R744" s="119"/>
    </row>
    <row r="745" spans="1:18" x14ac:dyDescent="0.3">
      <c r="A745" s="86" t="str">
        <f>IF(TRIM(H745)&lt;&gt;"",COUNTA(H$9:$H745)&amp;"","")</f>
        <v/>
      </c>
      <c r="B745" s="87"/>
      <c r="C745" s="87"/>
      <c r="D745" s="88"/>
      <c r="E745" s="89"/>
      <c r="F745" s="90"/>
      <c r="H745" s="91"/>
      <c r="I745" s="92"/>
      <c r="J745" s="93"/>
      <c r="K745" s="94" t="s">
        <v>549</v>
      </c>
      <c r="L745" s="95"/>
      <c r="M745" s="96"/>
      <c r="N745" s="97" t="s">
        <v>549</v>
      </c>
      <c r="O745" s="97"/>
      <c r="P745" s="95"/>
      <c r="Q745" s="98"/>
      <c r="R745" s="119"/>
    </row>
    <row r="746" spans="1:18" x14ac:dyDescent="0.3">
      <c r="A746" s="86" t="str">
        <f>IF(TRIM(H746)&lt;&gt;"",COUNTA(H$9:$H746)&amp;"","")</f>
        <v/>
      </c>
      <c r="B746" s="87"/>
      <c r="C746" s="87"/>
      <c r="D746" s="88"/>
      <c r="E746" s="125" t="s">
        <v>831</v>
      </c>
      <c r="F746" s="90"/>
      <c r="H746" s="91"/>
      <c r="I746" s="92" t="str">
        <f t="shared" ref="I746" si="497">IF(F746=0,"",0)</f>
        <v/>
      </c>
      <c r="J746" s="93" t="str">
        <f t="shared" ref="J746:J752" si="498">IF(F746=0,"",F746+(F746*I746))</f>
        <v/>
      </c>
      <c r="K746" s="94" t="s">
        <v>549</v>
      </c>
      <c r="L746" s="95" t="str">
        <f t="shared" ref="L746:L752" si="499">IF(F746=0,"",K746*J746)</f>
        <v/>
      </c>
      <c r="M746" s="96" t="str">
        <f t="shared" ref="M746:M752" si="500">IF(F746=0,"",M$7)</f>
        <v/>
      </c>
      <c r="N746" s="97" t="s">
        <v>549</v>
      </c>
      <c r="O746" s="97" t="str">
        <f t="shared" ref="O746:O752" si="501">IF(F746=0,"",N746*J746)</f>
        <v/>
      </c>
      <c r="P746" s="95" t="str">
        <f t="shared" ref="P746:P752" si="502">IF(F746=0,"",O746*M746)</f>
        <v/>
      </c>
      <c r="Q746" s="98" t="str">
        <f t="shared" ref="Q746:Q752" si="503">IF(F746=0,"",L746+P746)</f>
        <v/>
      </c>
      <c r="R746" s="119"/>
    </row>
    <row r="747" spans="1:18" x14ac:dyDescent="0.3">
      <c r="A747" s="86" t="str">
        <f>IF(TRIM(H747)&lt;&gt;"",COUNTA(H$9:$H747)&amp;"","")</f>
        <v>537</v>
      </c>
      <c r="B747" s="87" t="s">
        <v>832</v>
      </c>
      <c r="C747" s="87" t="s">
        <v>832</v>
      </c>
      <c r="D747" s="88"/>
      <c r="E747" s="89" t="s">
        <v>833</v>
      </c>
      <c r="F747" s="90">
        <v>68</v>
      </c>
      <c r="H747" s="91" t="s">
        <v>239</v>
      </c>
      <c r="I747" s="92">
        <v>0</v>
      </c>
      <c r="J747" s="93">
        <f t="shared" si="498"/>
        <v>68</v>
      </c>
      <c r="K747" s="94">
        <v>60</v>
      </c>
      <c r="L747" s="95">
        <f t="shared" si="499"/>
        <v>4080</v>
      </c>
      <c r="M747" s="96">
        <f t="shared" si="500"/>
        <v>75</v>
      </c>
      <c r="N747" s="97">
        <v>0.375</v>
      </c>
      <c r="O747" s="97">
        <f t="shared" si="501"/>
        <v>25.5</v>
      </c>
      <c r="P747" s="95">
        <f t="shared" si="502"/>
        <v>1912.5</v>
      </c>
      <c r="Q747" s="98">
        <f t="shared" si="503"/>
        <v>5992.5</v>
      </c>
      <c r="R747" s="119"/>
    </row>
    <row r="748" spans="1:18" x14ac:dyDescent="0.3">
      <c r="A748" s="86" t="str">
        <f>IF(TRIM(H748)&lt;&gt;"",COUNTA(H$9:$H748)&amp;"","")</f>
        <v>538</v>
      </c>
      <c r="B748" s="87" t="s">
        <v>832</v>
      </c>
      <c r="C748" s="87" t="s">
        <v>832</v>
      </c>
      <c r="D748" s="88"/>
      <c r="E748" s="89" t="s">
        <v>834</v>
      </c>
      <c r="F748" s="90">
        <v>2</v>
      </c>
      <c r="H748" s="91" t="s">
        <v>239</v>
      </c>
      <c r="I748" s="92">
        <v>0</v>
      </c>
      <c r="J748" s="93">
        <f t="shared" si="498"/>
        <v>2</v>
      </c>
      <c r="K748" s="94">
        <v>64</v>
      </c>
      <c r="L748" s="95">
        <f t="shared" si="499"/>
        <v>128</v>
      </c>
      <c r="M748" s="96">
        <f t="shared" si="500"/>
        <v>75</v>
      </c>
      <c r="N748" s="97">
        <v>0.4</v>
      </c>
      <c r="O748" s="97">
        <f t="shared" si="501"/>
        <v>0.8</v>
      </c>
      <c r="P748" s="95">
        <f t="shared" si="502"/>
        <v>60</v>
      </c>
      <c r="Q748" s="98">
        <f t="shared" si="503"/>
        <v>188</v>
      </c>
      <c r="R748" s="119"/>
    </row>
    <row r="749" spans="1:18" x14ac:dyDescent="0.3">
      <c r="A749" s="86" t="str">
        <f>IF(TRIM(H749)&lt;&gt;"",COUNTA(H$9:$H749)&amp;"","")</f>
        <v>539</v>
      </c>
      <c r="B749" s="87" t="s">
        <v>832</v>
      </c>
      <c r="C749" s="87" t="s">
        <v>832</v>
      </c>
      <c r="D749" s="88"/>
      <c r="E749" s="89" t="s">
        <v>835</v>
      </c>
      <c r="F749" s="90">
        <v>2</v>
      </c>
      <c r="H749" s="91" t="s">
        <v>239</v>
      </c>
      <c r="I749" s="92">
        <v>0</v>
      </c>
      <c r="J749" s="93">
        <f t="shared" si="498"/>
        <v>2</v>
      </c>
      <c r="K749" s="94">
        <v>68</v>
      </c>
      <c r="L749" s="95">
        <f t="shared" si="499"/>
        <v>136</v>
      </c>
      <c r="M749" s="96">
        <f t="shared" si="500"/>
        <v>75</v>
      </c>
      <c r="N749" s="97">
        <v>0.42499999999999999</v>
      </c>
      <c r="O749" s="97">
        <f t="shared" si="501"/>
        <v>0.85</v>
      </c>
      <c r="P749" s="95">
        <f t="shared" si="502"/>
        <v>63.75</v>
      </c>
      <c r="Q749" s="98">
        <f t="shared" si="503"/>
        <v>199.75</v>
      </c>
      <c r="R749" s="119"/>
    </row>
    <row r="750" spans="1:18" x14ac:dyDescent="0.3">
      <c r="A750" s="86" t="str">
        <f>IF(TRIM(H750)&lt;&gt;"",COUNTA(H$9:$H750)&amp;"","")</f>
        <v>540</v>
      </c>
      <c r="B750" s="87" t="s">
        <v>832</v>
      </c>
      <c r="C750" s="87" t="s">
        <v>832</v>
      </c>
      <c r="D750" s="88"/>
      <c r="E750" s="89" t="s">
        <v>836</v>
      </c>
      <c r="F750" s="90">
        <v>3</v>
      </c>
      <c r="H750" s="91" t="s">
        <v>239</v>
      </c>
      <c r="I750" s="92">
        <v>0</v>
      </c>
      <c r="J750" s="93">
        <f t="shared" si="498"/>
        <v>3</v>
      </c>
      <c r="K750" s="94">
        <v>120</v>
      </c>
      <c r="L750" s="95">
        <f t="shared" si="499"/>
        <v>360</v>
      </c>
      <c r="M750" s="96">
        <f t="shared" si="500"/>
        <v>75</v>
      </c>
      <c r="N750" s="97">
        <v>0.75</v>
      </c>
      <c r="O750" s="97">
        <f t="shared" si="501"/>
        <v>2.25</v>
      </c>
      <c r="P750" s="95">
        <f t="shared" si="502"/>
        <v>168.75</v>
      </c>
      <c r="Q750" s="98">
        <f t="shared" si="503"/>
        <v>528.75</v>
      </c>
      <c r="R750" s="119"/>
    </row>
    <row r="751" spans="1:18" x14ac:dyDescent="0.3">
      <c r="A751" s="86" t="str">
        <f>IF(TRIM(H751)&lt;&gt;"",COUNTA(H$9:$H751)&amp;"","")</f>
        <v>541</v>
      </c>
      <c r="B751" s="87" t="s">
        <v>832</v>
      </c>
      <c r="C751" s="87" t="s">
        <v>832</v>
      </c>
      <c r="D751" s="88"/>
      <c r="E751" s="89" t="s">
        <v>837</v>
      </c>
      <c r="F751" s="90">
        <v>6</v>
      </c>
      <c r="H751" s="91" t="s">
        <v>239</v>
      </c>
      <c r="I751" s="92">
        <v>0</v>
      </c>
      <c r="J751" s="93">
        <f t="shared" si="498"/>
        <v>6</v>
      </c>
      <c r="K751" s="94">
        <v>300</v>
      </c>
      <c r="L751" s="95">
        <f t="shared" si="499"/>
        <v>1800</v>
      </c>
      <c r="M751" s="96">
        <f t="shared" si="500"/>
        <v>75</v>
      </c>
      <c r="N751" s="97">
        <v>1.875</v>
      </c>
      <c r="O751" s="97">
        <f t="shared" si="501"/>
        <v>11.25</v>
      </c>
      <c r="P751" s="95">
        <f t="shared" si="502"/>
        <v>843.75</v>
      </c>
      <c r="Q751" s="98">
        <f t="shared" si="503"/>
        <v>2643.75</v>
      </c>
      <c r="R751" s="119"/>
    </row>
    <row r="752" spans="1:18" x14ac:dyDescent="0.3">
      <c r="A752" s="86" t="str">
        <f>IF(TRIM(H752)&lt;&gt;"",COUNTA(H$9:$H752)&amp;"","")</f>
        <v>542</v>
      </c>
      <c r="B752" s="87" t="s">
        <v>832</v>
      </c>
      <c r="C752" s="87" t="s">
        <v>832</v>
      </c>
      <c r="D752" s="88"/>
      <c r="E752" s="89" t="s">
        <v>838</v>
      </c>
      <c r="F752" s="90">
        <v>3</v>
      </c>
      <c r="H752" s="91" t="s">
        <v>239</v>
      </c>
      <c r="I752" s="92">
        <v>0</v>
      </c>
      <c r="J752" s="93">
        <f t="shared" si="498"/>
        <v>3</v>
      </c>
      <c r="K752" s="94">
        <v>520</v>
      </c>
      <c r="L752" s="95">
        <f t="shared" si="499"/>
        <v>1560</v>
      </c>
      <c r="M752" s="96">
        <f t="shared" si="500"/>
        <v>75</v>
      </c>
      <c r="N752" s="97">
        <v>3.25</v>
      </c>
      <c r="O752" s="97">
        <f t="shared" si="501"/>
        <v>9.75</v>
      </c>
      <c r="P752" s="95">
        <f t="shared" si="502"/>
        <v>731.25</v>
      </c>
      <c r="Q752" s="98">
        <f t="shared" si="503"/>
        <v>2291.25</v>
      </c>
      <c r="R752" s="119"/>
    </row>
    <row r="753" spans="1:18" x14ac:dyDescent="0.3">
      <c r="A753" s="86" t="str">
        <f>IF(TRIM(H753)&lt;&gt;"",COUNTA(H$9:$H753)&amp;"","")</f>
        <v/>
      </c>
      <c r="B753" s="87"/>
      <c r="C753" s="87"/>
      <c r="D753" s="88"/>
      <c r="E753" s="89"/>
      <c r="F753" s="90"/>
      <c r="H753" s="91"/>
      <c r="I753" s="92"/>
      <c r="J753" s="93"/>
      <c r="K753" s="94" t="s">
        <v>549</v>
      </c>
      <c r="L753" s="95"/>
      <c r="M753" s="96"/>
      <c r="N753" s="97" t="s">
        <v>549</v>
      </c>
      <c r="O753" s="97"/>
      <c r="P753" s="95"/>
      <c r="Q753" s="98"/>
      <c r="R753" s="119"/>
    </row>
    <row r="754" spans="1:18" x14ac:dyDescent="0.3">
      <c r="A754" s="86" t="str">
        <f>IF(TRIM(H754)&lt;&gt;"",COUNTA(H$9:$H754)&amp;"","")</f>
        <v/>
      </c>
      <c r="B754" s="87"/>
      <c r="C754" s="87"/>
      <c r="D754" s="88"/>
      <c r="E754" s="125" t="s">
        <v>839</v>
      </c>
      <c r="F754" s="90"/>
      <c r="H754" s="91"/>
      <c r="I754" s="92" t="str">
        <f t="shared" ref="I754" si="504">IF(F754=0,"",0)</f>
        <v/>
      </c>
      <c r="J754" s="93" t="str">
        <f t="shared" ref="J754:J758" si="505">IF(F754=0,"",F754+(F754*I754))</f>
        <v/>
      </c>
      <c r="K754" s="94" t="s">
        <v>549</v>
      </c>
      <c r="L754" s="95" t="str">
        <f t="shared" ref="L754:L758" si="506">IF(F754=0,"",K754*J754)</f>
        <v/>
      </c>
      <c r="M754" s="96" t="str">
        <f t="shared" ref="M754:M758" si="507">IF(F754=0,"",M$7)</f>
        <v/>
      </c>
      <c r="N754" s="97" t="s">
        <v>549</v>
      </c>
      <c r="O754" s="97" t="str">
        <f t="shared" ref="O754:O758" si="508">IF(F754=0,"",N754*J754)</f>
        <v/>
      </c>
      <c r="P754" s="95" t="str">
        <f t="shared" ref="P754:P758" si="509">IF(F754=0,"",O754*M754)</f>
        <v/>
      </c>
      <c r="Q754" s="98" t="str">
        <f t="shared" ref="Q754:Q758" si="510">IF(F754=0,"",L754+P754)</f>
        <v/>
      </c>
      <c r="R754" s="119"/>
    </row>
    <row r="755" spans="1:18" x14ac:dyDescent="0.3">
      <c r="A755" s="86" t="str">
        <f>IF(TRIM(H755)&lt;&gt;"",COUNTA(H$9:$H755)&amp;"","")</f>
        <v>543</v>
      </c>
      <c r="B755" s="87" t="s">
        <v>817</v>
      </c>
      <c r="C755" s="87" t="s">
        <v>832</v>
      </c>
      <c r="D755" s="88"/>
      <c r="E755" s="89" t="s">
        <v>840</v>
      </c>
      <c r="F755" s="90">
        <v>1</v>
      </c>
      <c r="H755" s="91" t="s">
        <v>239</v>
      </c>
      <c r="I755" s="92">
        <v>0</v>
      </c>
      <c r="J755" s="93">
        <f t="shared" si="505"/>
        <v>1</v>
      </c>
      <c r="K755" s="94">
        <v>148</v>
      </c>
      <c r="L755" s="95">
        <f t="shared" si="506"/>
        <v>148</v>
      </c>
      <c r="M755" s="96">
        <f t="shared" si="507"/>
        <v>75</v>
      </c>
      <c r="N755" s="97">
        <v>0.92500000000000004</v>
      </c>
      <c r="O755" s="97">
        <f t="shared" si="508"/>
        <v>0.92500000000000004</v>
      </c>
      <c r="P755" s="95">
        <f t="shared" si="509"/>
        <v>69.375</v>
      </c>
      <c r="Q755" s="98">
        <f t="shared" si="510"/>
        <v>217.375</v>
      </c>
      <c r="R755" s="119"/>
    </row>
    <row r="756" spans="1:18" x14ac:dyDescent="0.3">
      <c r="A756" s="86" t="str">
        <f>IF(TRIM(H756)&lt;&gt;"",COUNTA(H$9:$H756)&amp;"","")</f>
        <v>544</v>
      </c>
      <c r="B756" s="87" t="s">
        <v>817</v>
      </c>
      <c r="C756" s="87" t="s">
        <v>832</v>
      </c>
      <c r="D756" s="88"/>
      <c r="E756" s="89" t="s">
        <v>841</v>
      </c>
      <c r="F756" s="90">
        <v>1</v>
      </c>
      <c r="H756" s="91" t="s">
        <v>239</v>
      </c>
      <c r="I756" s="92">
        <v>0</v>
      </c>
      <c r="J756" s="93">
        <f t="shared" si="505"/>
        <v>1</v>
      </c>
      <c r="K756" s="94">
        <v>220</v>
      </c>
      <c r="L756" s="95">
        <f t="shared" si="506"/>
        <v>220</v>
      </c>
      <c r="M756" s="96">
        <f t="shared" si="507"/>
        <v>75</v>
      </c>
      <c r="N756" s="97">
        <v>1.375</v>
      </c>
      <c r="O756" s="97">
        <f t="shared" si="508"/>
        <v>1.375</v>
      </c>
      <c r="P756" s="95">
        <f t="shared" si="509"/>
        <v>103.125</v>
      </c>
      <c r="Q756" s="98">
        <f t="shared" si="510"/>
        <v>323.125</v>
      </c>
      <c r="R756" s="119"/>
    </row>
    <row r="757" spans="1:18" x14ac:dyDescent="0.3">
      <c r="A757" s="86" t="str">
        <f>IF(TRIM(H757)&lt;&gt;"",COUNTA(H$9:$H757)&amp;"","")</f>
        <v>545</v>
      </c>
      <c r="B757" s="87" t="s">
        <v>817</v>
      </c>
      <c r="C757" s="87" t="s">
        <v>832</v>
      </c>
      <c r="D757" s="88"/>
      <c r="E757" s="89" t="s">
        <v>842</v>
      </c>
      <c r="F757" s="90">
        <v>1</v>
      </c>
      <c r="H757" s="91" t="s">
        <v>239</v>
      </c>
      <c r="I757" s="92">
        <v>0</v>
      </c>
      <c r="J757" s="93">
        <f t="shared" si="505"/>
        <v>1</v>
      </c>
      <c r="K757" s="94">
        <v>460</v>
      </c>
      <c r="L757" s="95">
        <f t="shared" si="506"/>
        <v>460</v>
      </c>
      <c r="M757" s="96">
        <f t="shared" si="507"/>
        <v>75</v>
      </c>
      <c r="N757" s="97">
        <v>2.875</v>
      </c>
      <c r="O757" s="97">
        <f t="shared" si="508"/>
        <v>2.875</v>
      </c>
      <c r="P757" s="95">
        <f t="shared" si="509"/>
        <v>215.625</v>
      </c>
      <c r="Q757" s="98">
        <f t="shared" si="510"/>
        <v>675.625</v>
      </c>
      <c r="R757" s="119"/>
    </row>
    <row r="758" spans="1:18" x14ac:dyDescent="0.3">
      <c r="A758" s="86" t="str">
        <f>IF(TRIM(H758)&lt;&gt;"",COUNTA(H$9:$H758)&amp;"","")</f>
        <v>546</v>
      </c>
      <c r="B758" s="87" t="s">
        <v>817</v>
      </c>
      <c r="C758" s="87" t="s">
        <v>832</v>
      </c>
      <c r="D758" s="88"/>
      <c r="E758" s="89" t="s">
        <v>843</v>
      </c>
      <c r="F758" s="90">
        <v>1</v>
      </c>
      <c r="H758" s="91" t="s">
        <v>239</v>
      </c>
      <c r="I758" s="92">
        <v>0</v>
      </c>
      <c r="J758" s="93">
        <f t="shared" si="505"/>
        <v>1</v>
      </c>
      <c r="K758" s="94">
        <v>440</v>
      </c>
      <c r="L758" s="95">
        <f t="shared" si="506"/>
        <v>440</v>
      </c>
      <c r="M758" s="96">
        <f t="shared" si="507"/>
        <v>75</v>
      </c>
      <c r="N758" s="97">
        <v>2.75</v>
      </c>
      <c r="O758" s="97">
        <f t="shared" si="508"/>
        <v>2.75</v>
      </c>
      <c r="P758" s="95">
        <f t="shared" si="509"/>
        <v>206.25</v>
      </c>
      <c r="Q758" s="98">
        <f t="shared" si="510"/>
        <v>646.25</v>
      </c>
      <c r="R758" s="119"/>
    </row>
    <row r="759" spans="1:18" x14ac:dyDescent="0.3">
      <c r="A759" s="86" t="str">
        <f>IF(TRIM(H759)&lt;&gt;"",COUNTA(H$9:$H759)&amp;"","")</f>
        <v/>
      </c>
      <c r="B759" s="87"/>
      <c r="C759" s="87"/>
      <c r="D759" s="88"/>
      <c r="E759" s="89"/>
      <c r="F759" s="90"/>
      <c r="H759" s="91"/>
      <c r="I759" s="92"/>
      <c r="J759" s="93"/>
      <c r="K759" s="94" t="s">
        <v>549</v>
      </c>
      <c r="L759" s="95"/>
      <c r="M759" s="96"/>
      <c r="N759" s="97" t="s">
        <v>549</v>
      </c>
      <c r="O759" s="97"/>
      <c r="P759" s="95"/>
      <c r="Q759" s="98"/>
      <c r="R759" s="119"/>
    </row>
    <row r="760" spans="1:18" x14ac:dyDescent="0.3">
      <c r="A760" s="86" t="str">
        <f>IF(TRIM(H760)&lt;&gt;"",COUNTA(H$9:$H760)&amp;"","")</f>
        <v/>
      </c>
      <c r="B760" s="87"/>
      <c r="C760" s="87"/>
      <c r="D760" s="88"/>
      <c r="E760" s="125" t="s">
        <v>844</v>
      </c>
      <c r="F760" s="90"/>
      <c r="H760" s="91"/>
      <c r="I760" s="92" t="str">
        <f t="shared" ref="I760" si="511">IF(F760=0,"",0)</f>
        <v/>
      </c>
      <c r="J760" s="93" t="str">
        <f t="shared" ref="J760:J761" si="512">IF(F760=0,"",F760+(F760*I760))</f>
        <v/>
      </c>
      <c r="K760" s="94" t="s">
        <v>549</v>
      </c>
      <c r="L760" s="95" t="str">
        <f t="shared" ref="L760:L761" si="513">IF(F760=0,"",K760*J760)</f>
        <v/>
      </c>
      <c r="M760" s="96" t="str">
        <f t="shared" ref="M760:M761" si="514">IF(F760=0,"",M$7)</f>
        <v/>
      </c>
      <c r="N760" s="97" t="s">
        <v>549</v>
      </c>
      <c r="O760" s="97" t="str">
        <f t="shared" ref="O760:O761" si="515">IF(F760=0,"",N760*J760)</f>
        <v/>
      </c>
      <c r="P760" s="95" t="str">
        <f t="shared" ref="P760:P761" si="516">IF(F760=0,"",O760*M760)</f>
        <v/>
      </c>
      <c r="Q760" s="98" t="str">
        <f t="shared" ref="Q760:Q761" si="517">IF(F760=0,"",L760+P760)</f>
        <v/>
      </c>
      <c r="R760" s="119"/>
    </row>
    <row r="761" spans="1:18" x14ac:dyDescent="0.3">
      <c r="A761" s="86" t="str">
        <f>IF(TRIM(H761)&lt;&gt;"",COUNTA(H$9:$H761)&amp;"","")</f>
        <v>547</v>
      </c>
      <c r="B761" s="87" t="s">
        <v>817</v>
      </c>
      <c r="C761" s="87" t="s">
        <v>817</v>
      </c>
      <c r="D761" s="88"/>
      <c r="E761" s="89" t="s">
        <v>845</v>
      </c>
      <c r="F761" s="90">
        <v>18</v>
      </c>
      <c r="H761" s="91" t="s">
        <v>210</v>
      </c>
      <c r="I761" s="92">
        <v>0</v>
      </c>
      <c r="J761" s="93">
        <f t="shared" si="512"/>
        <v>18</v>
      </c>
      <c r="K761" s="94">
        <v>3.9</v>
      </c>
      <c r="L761" s="95">
        <f t="shared" si="513"/>
        <v>70.2</v>
      </c>
      <c r="M761" s="96">
        <f t="shared" si="514"/>
        <v>75</v>
      </c>
      <c r="N761" s="97">
        <v>6.5000000000000002E-2</v>
      </c>
      <c r="O761" s="97">
        <f t="shared" si="515"/>
        <v>1.17</v>
      </c>
      <c r="P761" s="95">
        <f t="shared" si="516"/>
        <v>87.75</v>
      </c>
      <c r="Q761" s="98">
        <f t="shared" si="517"/>
        <v>157.94999999999999</v>
      </c>
      <c r="R761" s="119"/>
    </row>
    <row r="762" spans="1:18" x14ac:dyDescent="0.3">
      <c r="A762" s="86" t="str">
        <f>IF(TRIM(H762)&lt;&gt;"",COUNTA(H$9:$H762)&amp;"","")</f>
        <v/>
      </c>
      <c r="B762" s="87"/>
      <c r="C762" s="87"/>
      <c r="D762" s="88"/>
      <c r="E762" s="160"/>
      <c r="F762" s="90"/>
      <c r="H762" s="91"/>
      <c r="I762" s="92"/>
      <c r="J762" s="93"/>
      <c r="K762" s="94" t="s">
        <v>549</v>
      </c>
      <c r="L762" s="95"/>
      <c r="M762" s="96"/>
      <c r="N762" s="97" t="s">
        <v>549</v>
      </c>
      <c r="O762" s="97"/>
      <c r="P762" s="95"/>
      <c r="Q762" s="98"/>
      <c r="R762" s="119"/>
    </row>
    <row r="763" spans="1:18" ht="15.6" x14ac:dyDescent="0.3">
      <c r="A763" s="86" t="str">
        <f>IF(TRIM(H763)&lt;&gt;"",COUNTA(H$9:$H763)&amp;"","")</f>
        <v/>
      </c>
      <c r="B763" s="87"/>
      <c r="C763" s="87"/>
      <c r="D763" s="88"/>
      <c r="E763" s="164" t="s">
        <v>190</v>
      </c>
      <c r="F763" s="90"/>
      <c r="H763" s="91"/>
      <c r="I763" s="92" t="str">
        <f t="shared" ref="I763:I835" si="518">IF(F763=0,"",0)</f>
        <v/>
      </c>
      <c r="J763" s="93" t="str">
        <f t="shared" ref="J763:J835" si="519">IF(F763=0,"",F763+(F763*I763))</f>
        <v/>
      </c>
      <c r="K763" s="94" t="s">
        <v>549</v>
      </c>
      <c r="L763" s="95" t="str">
        <f t="shared" ref="L763:L835" si="520">IF(F763=0,"",K763*J763)</f>
        <v/>
      </c>
      <c r="M763" s="96" t="str">
        <f t="shared" ref="M763:M835" si="521">IF(F763=0,"",M$7)</f>
        <v/>
      </c>
      <c r="N763" s="97" t="s">
        <v>549</v>
      </c>
      <c r="O763" s="97" t="str">
        <f t="shared" ref="O763:O835" si="522">IF(F763=0,"",N763*J763)</f>
        <v/>
      </c>
      <c r="P763" s="95" t="str">
        <f t="shared" ref="P763:P835" si="523">IF(F763=0,"",O763*M763)</f>
        <v/>
      </c>
      <c r="Q763" s="98" t="str">
        <f t="shared" ref="Q763:Q835" si="524">IF(F763=0,"",L763+P763)</f>
        <v/>
      </c>
      <c r="R763" s="119"/>
    </row>
    <row r="764" spans="1:18" x14ac:dyDescent="0.3">
      <c r="A764" s="86" t="str">
        <f>IF(TRIM(H764)&lt;&gt;"",COUNTA(H$9:$H764)&amp;"","")</f>
        <v/>
      </c>
      <c r="B764" s="87"/>
      <c r="C764" s="87"/>
      <c r="D764" s="88"/>
      <c r="E764" s="125" t="s">
        <v>191</v>
      </c>
      <c r="F764" s="90"/>
      <c r="H764" s="91"/>
      <c r="I764" s="92" t="str">
        <f t="shared" si="518"/>
        <v/>
      </c>
      <c r="J764" s="93" t="str">
        <f t="shared" si="519"/>
        <v/>
      </c>
      <c r="K764" s="94" t="s">
        <v>549</v>
      </c>
      <c r="L764" s="95" t="str">
        <f t="shared" si="520"/>
        <v/>
      </c>
      <c r="M764" s="96" t="str">
        <f t="shared" si="521"/>
        <v/>
      </c>
      <c r="N764" s="97" t="s">
        <v>549</v>
      </c>
      <c r="O764" s="97" t="str">
        <f t="shared" si="522"/>
        <v/>
      </c>
      <c r="P764" s="95" t="str">
        <f t="shared" si="523"/>
        <v/>
      </c>
      <c r="Q764" s="98" t="str">
        <f t="shared" si="524"/>
        <v/>
      </c>
      <c r="R764" s="119"/>
    </row>
    <row r="765" spans="1:18" x14ac:dyDescent="0.3">
      <c r="A765" s="86" t="str">
        <f>IF(TRIM(H765)&lt;&gt;"",COUNTA(H$9:$H765)&amp;"","")</f>
        <v>548</v>
      </c>
      <c r="B765" s="87" t="s">
        <v>846</v>
      </c>
      <c r="C765" s="87" t="s">
        <v>847</v>
      </c>
      <c r="D765" s="88"/>
      <c r="E765" s="89" t="s">
        <v>848</v>
      </c>
      <c r="F765" s="90">
        <v>591.37</v>
      </c>
      <c r="H765" s="91" t="s">
        <v>210</v>
      </c>
      <c r="I765" s="92">
        <v>0.1</v>
      </c>
      <c r="J765" s="93">
        <f t="shared" si="519"/>
        <v>650.50700000000006</v>
      </c>
      <c r="K765" s="94">
        <v>2.016</v>
      </c>
      <c r="L765" s="95">
        <f t="shared" si="520"/>
        <v>1311.4221120000002</v>
      </c>
      <c r="M765" s="96">
        <f t="shared" si="521"/>
        <v>75</v>
      </c>
      <c r="N765" s="97">
        <v>3.3600000000000005E-2</v>
      </c>
      <c r="O765" s="97">
        <f t="shared" si="522"/>
        <v>21.857035200000006</v>
      </c>
      <c r="P765" s="95">
        <f t="shared" si="523"/>
        <v>1639.2776400000005</v>
      </c>
      <c r="Q765" s="98">
        <f t="shared" si="524"/>
        <v>2950.6997520000004</v>
      </c>
      <c r="R765" s="119"/>
    </row>
    <row r="766" spans="1:18" x14ac:dyDescent="0.3">
      <c r="A766" s="86" t="str">
        <f>IF(TRIM(H766)&lt;&gt;"",COUNTA(H$9:$H766)&amp;"","")</f>
        <v>549</v>
      </c>
      <c r="B766" s="87" t="s">
        <v>846</v>
      </c>
      <c r="C766" s="87" t="s">
        <v>847</v>
      </c>
      <c r="D766" s="88"/>
      <c r="E766" s="89" t="s">
        <v>849</v>
      </c>
      <c r="F766" s="90">
        <v>21</v>
      </c>
      <c r="H766" s="91" t="s">
        <v>210</v>
      </c>
      <c r="I766" s="92">
        <v>0.1</v>
      </c>
      <c r="J766" s="93">
        <f t="shared" si="519"/>
        <v>23.1</v>
      </c>
      <c r="K766" s="94">
        <v>1.764</v>
      </c>
      <c r="L766" s="95">
        <f t="shared" si="520"/>
        <v>40.748400000000004</v>
      </c>
      <c r="M766" s="96">
        <f t="shared" si="521"/>
        <v>75</v>
      </c>
      <c r="N766" s="97">
        <v>2.9399999999999999E-2</v>
      </c>
      <c r="O766" s="97">
        <f t="shared" si="522"/>
        <v>0.67913999999999997</v>
      </c>
      <c r="P766" s="95">
        <f t="shared" si="523"/>
        <v>50.935499999999998</v>
      </c>
      <c r="Q766" s="98">
        <f t="shared" si="524"/>
        <v>91.683899999999994</v>
      </c>
      <c r="R766" s="119"/>
    </row>
    <row r="767" spans="1:18" x14ac:dyDescent="0.3">
      <c r="A767" s="86" t="str">
        <f>IF(TRIM(H767)&lt;&gt;"",COUNTA(H$9:$H767)&amp;"","")</f>
        <v>550</v>
      </c>
      <c r="B767" s="87" t="s">
        <v>846</v>
      </c>
      <c r="C767" s="87" t="s">
        <v>847</v>
      </c>
      <c r="D767" s="88"/>
      <c r="E767" s="89" t="s">
        <v>850</v>
      </c>
      <c r="F767" s="90">
        <v>382.62</v>
      </c>
      <c r="H767" s="91" t="s">
        <v>210</v>
      </c>
      <c r="I767" s="92">
        <v>0.1</v>
      </c>
      <c r="J767" s="93">
        <f t="shared" si="519"/>
        <v>420.88200000000001</v>
      </c>
      <c r="K767" s="94">
        <v>1.7999999999999998</v>
      </c>
      <c r="L767" s="95">
        <f t="shared" si="520"/>
        <v>757.58759999999995</v>
      </c>
      <c r="M767" s="96">
        <f t="shared" si="521"/>
        <v>75</v>
      </c>
      <c r="N767" s="97">
        <v>3.0000000000000006E-2</v>
      </c>
      <c r="O767" s="97">
        <f t="shared" si="522"/>
        <v>12.626460000000003</v>
      </c>
      <c r="P767" s="95">
        <f t="shared" si="523"/>
        <v>946.98450000000025</v>
      </c>
      <c r="Q767" s="98">
        <f t="shared" si="524"/>
        <v>1704.5721000000003</v>
      </c>
      <c r="R767" s="119"/>
    </row>
    <row r="768" spans="1:18" x14ac:dyDescent="0.3">
      <c r="A768" s="86" t="str">
        <f>IF(TRIM(H768)&lt;&gt;"",COUNTA(H$9:$H768)&amp;"","")</f>
        <v/>
      </c>
      <c r="B768" s="87"/>
      <c r="C768" s="87"/>
      <c r="D768" s="88"/>
      <c r="E768" s="100"/>
      <c r="F768" s="90"/>
      <c r="H768" s="91"/>
      <c r="I768" s="92" t="str">
        <f t="shared" si="518"/>
        <v/>
      </c>
      <c r="J768" s="93" t="str">
        <f t="shared" si="519"/>
        <v/>
      </c>
      <c r="K768" s="94" t="s">
        <v>549</v>
      </c>
      <c r="L768" s="95" t="str">
        <f t="shared" si="520"/>
        <v/>
      </c>
      <c r="M768" s="96" t="str">
        <f t="shared" si="521"/>
        <v/>
      </c>
      <c r="N768" s="97" t="s">
        <v>549</v>
      </c>
      <c r="O768" s="97" t="str">
        <f t="shared" si="522"/>
        <v/>
      </c>
      <c r="P768" s="95" t="str">
        <f t="shared" si="523"/>
        <v/>
      </c>
      <c r="Q768" s="98" t="str">
        <f t="shared" si="524"/>
        <v/>
      </c>
      <c r="R768" s="119"/>
    </row>
    <row r="769" spans="1:18" x14ac:dyDescent="0.3">
      <c r="A769" s="86" t="str">
        <f>IF(TRIM(H769)&lt;&gt;"",COUNTA(H$9:$H769)&amp;"","")</f>
        <v/>
      </c>
      <c r="B769" s="87"/>
      <c r="C769" s="87"/>
      <c r="D769" s="88"/>
      <c r="E769" s="125" t="s">
        <v>192</v>
      </c>
      <c r="F769" s="90"/>
      <c r="H769" s="91"/>
      <c r="I769" s="92" t="str">
        <f t="shared" si="518"/>
        <v/>
      </c>
      <c r="J769" s="93" t="str">
        <f t="shared" si="519"/>
        <v/>
      </c>
      <c r="K769" s="94" t="s">
        <v>549</v>
      </c>
      <c r="L769" s="95" t="str">
        <f t="shared" si="520"/>
        <v/>
      </c>
      <c r="M769" s="96" t="str">
        <f t="shared" si="521"/>
        <v/>
      </c>
      <c r="N769" s="97" t="s">
        <v>549</v>
      </c>
      <c r="O769" s="97" t="str">
        <f t="shared" si="522"/>
        <v/>
      </c>
      <c r="P769" s="95" t="str">
        <f t="shared" si="523"/>
        <v/>
      </c>
      <c r="Q769" s="98" t="str">
        <f t="shared" si="524"/>
        <v/>
      </c>
      <c r="R769" s="119"/>
    </row>
    <row r="770" spans="1:18" x14ac:dyDescent="0.3">
      <c r="A770" s="86" t="str">
        <f>IF(TRIM(H770)&lt;&gt;"",COUNTA(H$9:$H770)&amp;"","")</f>
        <v>551</v>
      </c>
      <c r="B770" s="87" t="s">
        <v>846</v>
      </c>
      <c r="C770" s="87" t="s">
        <v>847</v>
      </c>
      <c r="D770" s="88"/>
      <c r="E770" s="100" t="s">
        <v>851</v>
      </c>
      <c r="F770" s="90">
        <v>1774.1100000000001</v>
      </c>
      <c r="H770" s="91" t="s">
        <v>210</v>
      </c>
      <c r="I770" s="92">
        <v>0.1</v>
      </c>
      <c r="J770" s="93">
        <f t="shared" si="519"/>
        <v>1951.5210000000002</v>
      </c>
      <c r="K770" s="94">
        <v>0.24</v>
      </c>
      <c r="L770" s="95">
        <f t="shared" si="520"/>
        <v>468.36504000000002</v>
      </c>
      <c r="M770" s="96">
        <f t="shared" si="521"/>
        <v>75</v>
      </c>
      <c r="N770" s="97">
        <v>4.000000000000001E-3</v>
      </c>
      <c r="O770" s="97">
        <f t="shared" si="522"/>
        <v>7.8060840000000029</v>
      </c>
      <c r="P770" s="95">
        <f t="shared" si="523"/>
        <v>585.45630000000017</v>
      </c>
      <c r="Q770" s="98">
        <f t="shared" si="524"/>
        <v>1053.8213400000002</v>
      </c>
      <c r="R770" s="119"/>
    </row>
    <row r="771" spans="1:18" x14ac:dyDescent="0.3">
      <c r="A771" s="86" t="str">
        <f>IF(TRIM(H771)&lt;&gt;"",COUNTA(H$9:$H771)&amp;"","")</f>
        <v>552</v>
      </c>
      <c r="B771" s="87" t="s">
        <v>846</v>
      </c>
      <c r="C771" s="87" t="s">
        <v>847</v>
      </c>
      <c r="D771" s="88"/>
      <c r="E771" s="100" t="s">
        <v>852</v>
      </c>
      <c r="F771" s="90">
        <v>63</v>
      </c>
      <c r="H771" s="91" t="s">
        <v>210</v>
      </c>
      <c r="I771" s="92">
        <v>0.1</v>
      </c>
      <c r="J771" s="93">
        <f t="shared" si="519"/>
        <v>69.3</v>
      </c>
      <c r="K771" s="94">
        <v>0.24</v>
      </c>
      <c r="L771" s="95">
        <f t="shared" si="520"/>
        <v>16.631999999999998</v>
      </c>
      <c r="M771" s="96">
        <f t="shared" si="521"/>
        <v>75</v>
      </c>
      <c r="N771" s="97">
        <v>4.000000000000001E-3</v>
      </c>
      <c r="O771" s="97">
        <f t="shared" si="522"/>
        <v>0.27720000000000006</v>
      </c>
      <c r="P771" s="95">
        <f t="shared" si="523"/>
        <v>20.790000000000003</v>
      </c>
      <c r="Q771" s="98">
        <f t="shared" si="524"/>
        <v>37.421999999999997</v>
      </c>
      <c r="R771" s="119"/>
    </row>
    <row r="772" spans="1:18" x14ac:dyDescent="0.3">
      <c r="A772" s="86" t="str">
        <f>IF(TRIM(H772)&lt;&gt;"",COUNTA(H$9:$H772)&amp;"","")</f>
        <v>553</v>
      </c>
      <c r="B772" s="87" t="s">
        <v>846</v>
      </c>
      <c r="C772" s="87" t="s">
        <v>847</v>
      </c>
      <c r="D772" s="88"/>
      <c r="E772" s="100" t="s">
        <v>853</v>
      </c>
      <c r="F772" s="90">
        <v>765.24</v>
      </c>
      <c r="H772" s="91" t="s">
        <v>210</v>
      </c>
      <c r="I772" s="92">
        <v>0.1</v>
      </c>
      <c r="J772" s="93">
        <f t="shared" si="519"/>
        <v>841.76400000000001</v>
      </c>
      <c r="K772" s="94">
        <v>0.18</v>
      </c>
      <c r="L772" s="95">
        <f t="shared" si="520"/>
        <v>151.51751999999999</v>
      </c>
      <c r="M772" s="96">
        <f t="shared" si="521"/>
        <v>75</v>
      </c>
      <c r="N772" s="97">
        <v>3.0000000000000001E-3</v>
      </c>
      <c r="O772" s="97">
        <f t="shared" si="522"/>
        <v>2.5252919999999999</v>
      </c>
      <c r="P772" s="95">
        <f t="shared" si="523"/>
        <v>189.39689999999999</v>
      </c>
      <c r="Q772" s="98">
        <f t="shared" si="524"/>
        <v>340.91441999999995</v>
      </c>
      <c r="R772" s="119"/>
    </row>
    <row r="773" spans="1:18" x14ac:dyDescent="0.3">
      <c r="A773" s="86" t="str">
        <f>IF(TRIM(H773)&lt;&gt;"",COUNTA(H$9:$H773)&amp;"","")</f>
        <v>554</v>
      </c>
      <c r="B773" s="87" t="s">
        <v>846</v>
      </c>
      <c r="C773" s="87" t="s">
        <v>847</v>
      </c>
      <c r="D773" s="88"/>
      <c r="E773" s="100" t="s">
        <v>854</v>
      </c>
      <c r="F773" s="90">
        <v>1507.29</v>
      </c>
      <c r="H773" s="91" t="s">
        <v>210</v>
      </c>
      <c r="I773" s="92">
        <v>0.1</v>
      </c>
      <c r="J773" s="93">
        <f t="shared" si="519"/>
        <v>1658.019</v>
      </c>
      <c r="K773" s="94">
        <v>0.76800000000000002</v>
      </c>
      <c r="L773" s="95">
        <f t="shared" si="520"/>
        <v>1273.358592</v>
      </c>
      <c r="M773" s="96">
        <f t="shared" si="521"/>
        <v>75</v>
      </c>
      <c r="N773" s="97">
        <v>1.2800000000000001E-2</v>
      </c>
      <c r="O773" s="97">
        <f t="shared" si="522"/>
        <v>21.2226432</v>
      </c>
      <c r="P773" s="95">
        <f t="shared" si="523"/>
        <v>1591.6982399999999</v>
      </c>
      <c r="Q773" s="98">
        <f t="shared" si="524"/>
        <v>2865.0568320000002</v>
      </c>
      <c r="R773" s="119"/>
    </row>
    <row r="774" spans="1:18" x14ac:dyDescent="0.3">
      <c r="A774" s="86" t="str">
        <f>IF(TRIM(H774)&lt;&gt;"",COUNTA(H$9:$H774)&amp;"","")</f>
        <v/>
      </c>
      <c r="B774" s="87"/>
      <c r="C774" s="87"/>
      <c r="D774" s="88"/>
      <c r="E774" s="100"/>
      <c r="F774" s="90"/>
      <c r="H774" s="91"/>
      <c r="I774" s="92" t="str">
        <f t="shared" si="518"/>
        <v/>
      </c>
      <c r="J774" s="93" t="str">
        <f t="shared" si="519"/>
        <v/>
      </c>
      <c r="K774" s="94" t="s">
        <v>549</v>
      </c>
      <c r="L774" s="95" t="str">
        <f t="shared" si="520"/>
        <v/>
      </c>
      <c r="M774" s="96" t="str">
        <f t="shared" si="521"/>
        <v/>
      </c>
      <c r="N774" s="97" t="s">
        <v>549</v>
      </c>
      <c r="O774" s="97" t="str">
        <f t="shared" si="522"/>
        <v/>
      </c>
      <c r="P774" s="95" t="str">
        <f t="shared" si="523"/>
        <v/>
      </c>
      <c r="Q774" s="98" t="str">
        <f t="shared" si="524"/>
        <v/>
      </c>
      <c r="R774" s="119"/>
    </row>
    <row r="775" spans="1:18" x14ac:dyDescent="0.3">
      <c r="A775" s="86" t="str">
        <f>IF(TRIM(H775)&lt;&gt;"",COUNTA(H$9:$H775)&amp;"","")</f>
        <v/>
      </c>
      <c r="B775" s="87"/>
      <c r="C775" s="87"/>
      <c r="D775" s="88"/>
      <c r="E775" s="125" t="s">
        <v>193</v>
      </c>
      <c r="F775" s="90"/>
      <c r="H775" s="91"/>
      <c r="I775" s="92" t="str">
        <f t="shared" si="518"/>
        <v/>
      </c>
      <c r="J775" s="93" t="str">
        <f t="shared" si="519"/>
        <v/>
      </c>
      <c r="K775" s="94" t="s">
        <v>549</v>
      </c>
      <c r="L775" s="95" t="str">
        <f t="shared" si="520"/>
        <v/>
      </c>
      <c r="M775" s="96" t="str">
        <f t="shared" si="521"/>
        <v/>
      </c>
      <c r="N775" s="97" t="s">
        <v>549</v>
      </c>
      <c r="O775" s="97" t="str">
        <f t="shared" si="522"/>
        <v/>
      </c>
      <c r="P775" s="95" t="str">
        <f t="shared" si="523"/>
        <v/>
      </c>
      <c r="Q775" s="98" t="str">
        <f t="shared" si="524"/>
        <v/>
      </c>
      <c r="R775" s="119"/>
    </row>
    <row r="776" spans="1:18" x14ac:dyDescent="0.3">
      <c r="A776" s="86" t="str">
        <f>IF(TRIM(H776)&lt;&gt;"",COUNTA(H$9:$H776)&amp;"","")</f>
        <v>555</v>
      </c>
      <c r="B776" s="87" t="s">
        <v>846</v>
      </c>
      <c r="C776" s="87" t="s">
        <v>847</v>
      </c>
      <c r="D776" s="88"/>
      <c r="E776" s="89" t="s">
        <v>855</v>
      </c>
      <c r="F776" s="90">
        <v>272.32</v>
      </c>
      <c r="H776" s="91" t="s">
        <v>210</v>
      </c>
      <c r="I776" s="92">
        <v>0.1</v>
      </c>
      <c r="J776" s="93">
        <f t="shared" si="519"/>
        <v>299.55200000000002</v>
      </c>
      <c r="K776" s="94">
        <v>3.9599999999999995</v>
      </c>
      <c r="L776" s="95">
        <f t="shared" si="520"/>
        <v>1186.2259199999999</v>
      </c>
      <c r="M776" s="96">
        <f t="shared" si="521"/>
        <v>75</v>
      </c>
      <c r="N776" s="97">
        <v>6.6000000000000003E-2</v>
      </c>
      <c r="O776" s="97">
        <f t="shared" si="522"/>
        <v>19.770432000000003</v>
      </c>
      <c r="P776" s="95">
        <f t="shared" si="523"/>
        <v>1482.7824000000003</v>
      </c>
      <c r="Q776" s="98">
        <f t="shared" si="524"/>
        <v>2669.0083199999999</v>
      </c>
      <c r="R776" s="119"/>
    </row>
    <row r="777" spans="1:18" x14ac:dyDescent="0.3">
      <c r="A777" s="86" t="str">
        <f>IF(TRIM(H777)&lt;&gt;"",COUNTA(H$9:$H777)&amp;"","")</f>
        <v>556</v>
      </c>
      <c r="B777" s="87" t="s">
        <v>846</v>
      </c>
      <c r="C777" s="87" t="s">
        <v>847</v>
      </c>
      <c r="D777" s="88"/>
      <c r="E777" s="89" t="s">
        <v>856</v>
      </c>
      <c r="F777" s="90">
        <v>6</v>
      </c>
      <c r="H777" s="91" t="s">
        <v>210</v>
      </c>
      <c r="I777" s="92">
        <v>0.1</v>
      </c>
      <c r="J777" s="93">
        <f t="shared" si="519"/>
        <v>6.6</v>
      </c>
      <c r="K777" s="94">
        <v>3.6300000000000003</v>
      </c>
      <c r="L777" s="95">
        <f t="shared" si="520"/>
        <v>23.958000000000002</v>
      </c>
      <c r="M777" s="96">
        <f t="shared" si="521"/>
        <v>75</v>
      </c>
      <c r="N777" s="97">
        <v>6.0500000000000012E-2</v>
      </c>
      <c r="O777" s="97">
        <f t="shared" si="522"/>
        <v>0.39930000000000004</v>
      </c>
      <c r="P777" s="95">
        <f t="shared" si="523"/>
        <v>29.947500000000002</v>
      </c>
      <c r="Q777" s="98">
        <f t="shared" si="524"/>
        <v>53.905500000000004</v>
      </c>
      <c r="R777" s="119"/>
    </row>
    <row r="778" spans="1:18" x14ac:dyDescent="0.3">
      <c r="A778" s="86" t="str">
        <f>IF(TRIM(H778)&lt;&gt;"",COUNTA(H$9:$H778)&amp;"","")</f>
        <v>557</v>
      </c>
      <c r="B778" s="87" t="s">
        <v>846</v>
      </c>
      <c r="C778" s="87" t="s">
        <v>847</v>
      </c>
      <c r="D778" s="88"/>
      <c r="E778" s="100" t="s">
        <v>857</v>
      </c>
      <c r="F778" s="90">
        <v>6</v>
      </c>
      <c r="H778" s="91" t="s">
        <v>210</v>
      </c>
      <c r="I778" s="92">
        <v>0.1</v>
      </c>
      <c r="J778" s="93">
        <f t="shared" si="519"/>
        <v>6.6</v>
      </c>
      <c r="K778" s="94">
        <v>3.4650000000000003</v>
      </c>
      <c r="L778" s="95">
        <f t="shared" si="520"/>
        <v>22.869</v>
      </c>
      <c r="M778" s="96">
        <f t="shared" si="521"/>
        <v>75</v>
      </c>
      <c r="N778" s="97">
        <v>5.7750000000000003E-2</v>
      </c>
      <c r="O778" s="97">
        <f t="shared" si="522"/>
        <v>0.38114999999999999</v>
      </c>
      <c r="P778" s="95">
        <f t="shared" si="523"/>
        <v>28.58625</v>
      </c>
      <c r="Q778" s="98">
        <f t="shared" si="524"/>
        <v>51.455249999999999</v>
      </c>
      <c r="R778" s="119"/>
    </row>
    <row r="779" spans="1:18" x14ac:dyDescent="0.3">
      <c r="A779" s="86" t="str">
        <f>IF(TRIM(H779)&lt;&gt;"",COUNTA(H$9:$H779)&amp;"","")</f>
        <v>558</v>
      </c>
      <c r="B779" s="87" t="s">
        <v>846</v>
      </c>
      <c r="C779" s="87" t="s">
        <v>847</v>
      </c>
      <c r="D779" s="88"/>
      <c r="E779" s="100" t="s">
        <v>858</v>
      </c>
      <c r="F779" s="90">
        <v>20.48</v>
      </c>
      <c r="H779" s="91" t="s">
        <v>210</v>
      </c>
      <c r="I779" s="92">
        <v>0.1</v>
      </c>
      <c r="J779" s="93">
        <f t="shared" si="519"/>
        <v>22.527999999999999</v>
      </c>
      <c r="K779" s="94">
        <v>4.0823999999999998</v>
      </c>
      <c r="L779" s="95">
        <f t="shared" si="520"/>
        <v>91.968307199999984</v>
      </c>
      <c r="M779" s="96">
        <f t="shared" si="521"/>
        <v>75</v>
      </c>
      <c r="N779" s="97">
        <v>6.8040000000000017E-2</v>
      </c>
      <c r="O779" s="97">
        <f t="shared" si="522"/>
        <v>1.5328051200000004</v>
      </c>
      <c r="P779" s="95">
        <f t="shared" si="523"/>
        <v>114.96038400000003</v>
      </c>
      <c r="Q779" s="98">
        <f t="shared" si="524"/>
        <v>206.9286912</v>
      </c>
      <c r="R779" s="119"/>
    </row>
    <row r="780" spans="1:18" x14ac:dyDescent="0.3">
      <c r="A780" s="86" t="str">
        <f>IF(TRIM(H780)&lt;&gt;"",COUNTA(H$9:$H780)&amp;"","")</f>
        <v>559</v>
      </c>
      <c r="B780" s="87" t="s">
        <v>846</v>
      </c>
      <c r="C780" s="87" t="s">
        <v>847</v>
      </c>
      <c r="D780" s="88"/>
      <c r="E780" s="100" t="s">
        <v>859</v>
      </c>
      <c r="F780" s="90">
        <v>151.86000000000001</v>
      </c>
      <c r="H780" s="91" t="s">
        <v>210</v>
      </c>
      <c r="I780" s="92">
        <v>0.1</v>
      </c>
      <c r="J780" s="93">
        <f t="shared" si="519"/>
        <v>167.04600000000002</v>
      </c>
      <c r="K780" s="94">
        <v>3.1103999999999998</v>
      </c>
      <c r="L780" s="95">
        <f t="shared" si="520"/>
        <v>519.57987839999998</v>
      </c>
      <c r="M780" s="96">
        <f t="shared" si="521"/>
        <v>75</v>
      </c>
      <c r="N780" s="97">
        <v>5.1840000000000011E-2</v>
      </c>
      <c r="O780" s="97">
        <f t="shared" si="522"/>
        <v>8.6596646400000026</v>
      </c>
      <c r="P780" s="95">
        <f t="shared" si="523"/>
        <v>649.47484800000018</v>
      </c>
      <c r="Q780" s="98">
        <f t="shared" si="524"/>
        <v>1169.0547264000002</v>
      </c>
      <c r="R780" s="119"/>
    </row>
    <row r="781" spans="1:18" x14ac:dyDescent="0.3">
      <c r="A781" s="86" t="str">
        <f>IF(TRIM(H781)&lt;&gt;"",COUNTA(H$9:$H781)&amp;"","")</f>
        <v>560</v>
      </c>
      <c r="B781" s="87" t="s">
        <v>846</v>
      </c>
      <c r="C781" s="87" t="s">
        <v>847</v>
      </c>
      <c r="D781" s="88"/>
      <c r="E781" s="100" t="s">
        <v>860</v>
      </c>
      <c r="F781" s="90">
        <v>40.409999999999997</v>
      </c>
      <c r="H781" s="91" t="s">
        <v>210</v>
      </c>
      <c r="I781" s="92">
        <v>0.1</v>
      </c>
      <c r="J781" s="93">
        <f t="shared" si="519"/>
        <v>44.450999999999993</v>
      </c>
      <c r="K781" s="94">
        <v>3.456</v>
      </c>
      <c r="L781" s="95">
        <f t="shared" si="520"/>
        <v>153.62265599999998</v>
      </c>
      <c r="M781" s="96">
        <f t="shared" si="521"/>
        <v>75</v>
      </c>
      <c r="N781" s="97">
        <v>5.7599999999999998E-2</v>
      </c>
      <c r="O781" s="97">
        <f t="shared" si="522"/>
        <v>2.5603775999999994</v>
      </c>
      <c r="P781" s="95">
        <f t="shared" si="523"/>
        <v>192.02831999999995</v>
      </c>
      <c r="Q781" s="98">
        <f t="shared" si="524"/>
        <v>345.6509759999999</v>
      </c>
      <c r="R781" s="119"/>
    </row>
    <row r="782" spans="1:18" x14ac:dyDescent="0.3">
      <c r="A782" s="86" t="str">
        <f>IF(TRIM(H782)&lt;&gt;"",COUNTA(H$9:$H782)&amp;"","")</f>
        <v>561</v>
      </c>
      <c r="B782" s="87" t="s">
        <v>846</v>
      </c>
      <c r="C782" s="87" t="s">
        <v>847</v>
      </c>
      <c r="D782" s="88"/>
      <c r="E782" s="100" t="s">
        <v>848</v>
      </c>
      <c r="F782" s="90">
        <v>3511.9500000000003</v>
      </c>
      <c r="H782" s="91" t="s">
        <v>210</v>
      </c>
      <c r="I782" s="92">
        <v>0.1</v>
      </c>
      <c r="J782" s="93">
        <f t="shared" si="519"/>
        <v>3863.1450000000004</v>
      </c>
      <c r="K782" s="94">
        <v>2.016</v>
      </c>
      <c r="L782" s="95">
        <f t="shared" si="520"/>
        <v>7788.1003200000014</v>
      </c>
      <c r="M782" s="96">
        <f t="shared" si="521"/>
        <v>75</v>
      </c>
      <c r="N782" s="97">
        <v>3.3600000000000005E-2</v>
      </c>
      <c r="O782" s="97">
        <f t="shared" si="522"/>
        <v>129.80167200000002</v>
      </c>
      <c r="P782" s="95">
        <f t="shared" si="523"/>
        <v>9735.1254000000026</v>
      </c>
      <c r="Q782" s="98">
        <f t="shared" si="524"/>
        <v>17523.225720000002</v>
      </c>
      <c r="R782" s="119"/>
    </row>
    <row r="783" spans="1:18" x14ac:dyDescent="0.3">
      <c r="A783" s="86" t="str">
        <f>IF(TRIM(H783)&lt;&gt;"",COUNTA(H$9:$H783)&amp;"","")</f>
        <v>562</v>
      </c>
      <c r="B783" s="87" t="s">
        <v>846</v>
      </c>
      <c r="C783" s="87" t="s">
        <v>847</v>
      </c>
      <c r="D783" s="88"/>
      <c r="E783" s="100" t="s">
        <v>861</v>
      </c>
      <c r="F783" s="90">
        <v>216.85</v>
      </c>
      <c r="H783" s="91" t="s">
        <v>210</v>
      </c>
      <c r="I783" s="92">
        <v>0.1</v>
      </c>
      <c r="J783" s="93">
        <f t="shared" si="519"/>
        <v>238.535</v>
      </c>
      <c r="K783" s="94">
        <v>1.8144</v>
      </c>
      <c r="L783" s="95">
        <f t="shared" si="520"/>
        <v>432.79790400000002</v>
      </c>
      <c r="M783" s="96">
        <f t="shared" si="521"/>
        <v>75</v>
      </c>
      <c r="N783" s="97">
        <v>3.024E-2</v>
      </c>
      <c r="O783" s="97">
        <f t="shared" si="522"/>
        <v>7.2132984000000002</v>
      </c>
      <c r="P783" s="95">
        <f t="shared" si="523"/>
        <v>540.99738000000002</v>
      </c>
      <c r="Q783" s="98">
        <f t="shared" si="524"/>
        <v>973.79528400000004</v>
      </c>
      <c r="R783" s="119"/>
    </row>
    <row r="784" spans="1:18" x14ac:dyDescent="0.3">
      <c r="A784" s="86" t="str">
        <f>IF(TRIM(H784)&lt;&gt;"",COUNTA(H$9:$H784)&amp;"","")</f>
        <v>563</v>
      </c>
      <c r="B784" s="87" t="s">
        <v>846</v>
      </c>
      <c r="C784" s="87" t="s">
        <v>847</v>
      </c>
      <c r="D784" s="88"/>
      <c r="E784" s="100" t="s">
        <v>849</v>
      </c>
      <c r="F784" s="90">
        <v>6</v>
      </c>
      <c r="H784" s="91" t="s">
        <v>210</v>
      </c>
      <c r="I784" s="92">
        <v>0.1</v>
      </c>
      <c r="J784" s="93">
        <f t="shared" si="519"/>
        <v>6.6</v>
      </c>
      <c r="K784" s="94">
        <v>1.764</v>
      </c>
      <c r="L784" s="95">
        <f t="shared" si="520"/>
        <v>11.6424</v>
      </c>
      <c r="M784" s="96">
        <f t="shared" si="521"/>
        <v>75</v>
      </c>
      <c r="N784" s="97">
        <v>2.9399999999999999E-2</v>
      </c>
      <c r="O784" s="97">
        <f t="shared" si="522"/>
        <v>0.19403999999999999</v>
      </c>
      <c r="P784" s="95">
        <f t="shared" si="523"/>
        <v>14.552999999999999</v>
      </c>
      <c r="Q784" s="98">
        <f t="shared" si="524"/>
        <v>26.195399999999999</v>
      </c>
      <c r="R784" s="119"/>
    </row>
    <row r="785" spans="1:18" x14ac:dyDescent="0.3">
      <c r="A785" s="86" t="str">
        <f>IF(TRIM(H785)&lt;&gt;"",COUNTA(H$9:$H785)&amp;"","")</f>
        <v>564</v>
      </c>
      <c r="B785" s="87" t="s">
        <v>846</v>
      </c>
      <c r="C785" s="87" t="s">
        <v>847</v>
      </c>
      <c r="D785" s="88"/>
      <c r="E785" s="100" t="s">
        <v>862</v>
      </c>
      <c r="F785" s="90">
        <v>17.63</v>
      </c>
      <c r="H785" s="91" t="s">
        <v>210</v>
      </c>
      <c r="I785" s="92">
        <v>0.1</v>
      </c>
      <c r="J785" s="93">
        <f t="shared" si="519"/>
        <v>19.393000000000001</v>
      </c>
      <c r="K785" s="94">
        <v>1.68</v>
      </c>
      <c r="L785" s="95">
        <f t="shared" si="520"/>
        <v>32.580240000000003</v>
      </c>
      <c r="M785" s="96">
        <f t="shared" si="521"/>
        <v>75</v>
      </c>
      <c r="N785" s="97">
        <v>2.7999999999999997E-2</v>
      </c>
      <c r="O785" s="97">
        <f t="shared" si="522"/>
        <v>0.54300399999999993</v>
      </c>
      <c r="P785" s="95">
        <f t="shared" si="523"/>
        <v>40.725299999999997</v>
      </c>
      <c r="Q785" s="98">
        <f t="shared" si="524"/>
        <v>73.305540000000008</v>
      </c>
      <c r="R785" s="119"/>
    </row>
    <row r="786" spans="1:18" x14ac:dyDescent="0.3">
      <c r="A786" s="86" t="str">
        <f>IF(TRIM(H786)&lt;&gt;"",COUNTA(H$9:$H786)&amp;"","")</f>
        <v/>
      </c>
      <c r="B786" s="87"/>
      <c r="C786" s="87"/>
      <c r="D786" s="88"/>
      <c r="E786" s="100"/>
      <c r="F786" s="90"/>
      <c r="H786" s="91"/>
      <c r="I786" s="92" t="str">
        <f t="shared" si="518"/>
        <v/>
      </c>
      <c r="J786" s="93" t="str">
        <f t="shared" si="519"/>
        <v/>
      </c>
      <c r="K786" s="94" t="s">
        <v>549</v>
      </c>
      <c r="L786" s="95" t="str">
        <f t="shared" si="520"/>
        <v/>
      </c>
      <c r="M786" s="96" t="str">
        <f t="shared" si="521"/>
        <v/>
      </c>
      <c r="N786" s="97" t="s">
        <v>549</v>
      </c>
      <c r="O786" s="97" t="str">
        <f t="shared" si="522"/>
        <v/>
      </c>
      <c r="P786" s="95" t="str">
        <f t="shared" si="523"/>
        <v/>
      </c>
      <c r="Q786" s="98" t="str">
        <f t="shared" si="524"/>
        <v/>
      </c>
      <c r="R786" s="119"/>
    </row>
    <row r="787" spans="1:18" x14ac:dyDescent="0.3">
      <c r="A787" s="86" t="str">
        <f>IF(TRIM(H787)&lt;&gt;"",COUNTA(H$9:$H787)&amp;"","")</f>
        <v/>
      </c>
      <c r="B787" s="87"/>
      <c r="C787" s="87"/>
      <c r="D787" s="88"/>
      <c r="E787" s="125" t="s">
        <v>194</v>
      </c>
      <c r="F787" s="90"/>
      <c r="H787" s="91"/>
      <c r="I787" s="92" t="str">
        <f t="shared" si="518"/>
        <v/>
      </c>
      <c r="J787" s="93" t="str">
        <f t="shared" si="519"/>
        <v/>
      </c>
      <c r="K787" s="94" t="s">
        <v>549</v>
      </c>
      <c r="L787" s="95" t="str">
        <f t="shared" si="520"/>
        <v/>
      </c>
      <c r="M787" s="96" t="str">
        <f t="shared" si="521"/>
        <v/>
      </c>
      <c r="N787" s="97" t="s">
        <v>549</v>
      </c>
      <c r="O787" s="97" t="str">
        <f t="shared" si="522"/>
        <v/>
      </c>
      <c r="P787" s="95" t="str">
        <f t="shared" si="523"/>
        <v/>
      </c>
      <c r="Q787" s="98" t="str">
        <f t="shared" si="524"/>
        <v/>
      </c>
      <c r="R787" s="119"/>
    </row>
    <row r="788" spans="1:18" x14ac:dyDescent="0.3">
      <c r="A788" s="86" t="str">
        <f>IF(TRIM(H788)&lt;&gt;"",COUNTA(H$9:$H788)&amp;"","")</f>
        <v>565</v>
      </c>
      <c r="B788" s="87" t="s">
        <v>846</v>
      </c>
      <c r="C788" s="87" t="s">
        <v>847</v>
      </c>
      <c r="D788" s="88"/>
      <c r="E788" s="100" t="s">
        <v>823</v>
      </c>
      <c r="F788" s="90">
        <v>1089.28</v>
      </c>
      <c r="H788" s="91" t="s">
        <v>210</v>
      </c>
      <c r="I788" s="92">
        <v>0.1</v>
      </c>
      <c r="J788" s="93">
        <f t="shared" si="519"/>
        <v>1198.2080000000001</v>
      </c>
      <c r="K788" s="94">
        <v>1.6019999999999999</v>
      </c>
      <c r="L788" s="95">
        <f t="shared" si="520"/>
        <v>1919.5292159999999</v>
      </c>
      <c r="M788" s="96">
        <f t="shared" si="521"/>
        <v>75</v>
      </c>
      <c r="N788" s="97">
        <v>2.6700000000000002E-2</v>
      </c>
      <c r="O788" s="97">
        <f t="shared" si="522"/>
        <v>31.992153600000005</v>
      </c>
      <c r="P788" s="95">
        <f t="shared" si="523"/>
        <v>2399.4115200000006</v>
      </c>
      <c r="Q788" s="98">
        <f t="shared" si="524"/>
        <v>4318.9407360000005</v>
      </c>
      <c r="R788" s="119"/>
    </row>
    <row r="789" spans="1:18" x14ac:dyDescent="0.3">
      <c r="A789" s="86" t="str">
        <f>IF(TRIM(H789)&lt;&gt;"",COUNTA(H$9:$H789)&amp;"","")</f>
        <v>566</v>
      </c>
      <c r="B789" s="87" t="s">
        <v>846</v>
      </c>
      <c r="C789" s="87" t="s">
        <v>847</v>
      </c>
      <c r="D789" s="88"/>
      <c r="E789" s="100" t="s">
        <v>863</v>
      </c>
      <c r="F789" s="90">
        <v>48</v>
      </c>
      <c r="H789" s="91" t="s">
        <v>210</v>
      </c>
      <c r="I789" s="92">
        <v>0.1</v>
      </c>
      <c r="J789" s="93">
        <f t="shared" si="519"/>
        <v>52.8</v>
      </c>
      <c r="K789" s="94">
        <v>1.6019999999999999</v>
      </c>
      <c r="L789" s="95">
        <f t="shared" si="520"/>
        <v>84.585599999999985</v>
      </c>
      <c r="M789" s="96">
        <f t="shared" si="521"/>
        <v>75</v>
      </c>
      <c r="N789" s="97">
        <v>2.6700000000000002E-2</v>
      </c>
      <c r="O789" s="97">
        <f t="shared" si="522"/>
        <v>1.4097599999999999</v>
      </c>
      <c r="P789" s="95">
        <f t="shared" si="523"/>
        <v>105.732</v>
      </c>
      <c r="Q789" s="98">
        <f t="shared" si="524"/>
        <v>190.31759999999997</v>
      </c>
      <c r="R789" s="119"/>
    </row>
    <row r="790" spans="1:18" x14ac:dyDescent="0.3">
      <c r="A790" s="86" t="str">
        <f>IF(TRIM(H790)&lt;&gt;"",COUNTA(H$9:$H790)&amp;"","")</f>
        <v>567</v>
      </c>
      <c r="B790" s="87" t="s">
        <v>846</v>
      </c>
      <c r="C790" s="87" t="s">
        <v>847</v>
      </c>
      <c r="D790" s="88"/>
      <c r="E790" s="100" t="s">
        <v>864</v>
      </c>
      <c r="F790" s="90">
        <v>272.32</v>
      </c>
      <c r="H790" s="91" t="s">
        <v>210</v>
      </c>
      <c r="I790" s="92">
        <v>0.1</v>
      </c>
      <c r="J790" s="93">
        <f t="shared" si="519"/>
        <v>299.55200000000002</v>
      </c>
      <c r="K790" s="94">
        <v>0.72599999999999998</v>
      </c>
      <c r="L790" s="95">
        <f t="shared" si="520"/>
        <v>217.474752</v>
      </c>
      <c r="M790" s="96">
        <f t="shared" si="521"/>
        <v>75</v>
      </c>
      <c r="N790" s="97">
        <v>1.21E-2</v>
      </c>
      <c r="O790" s="97">
        <f t="shared" si="522"/>
        <v>3.6245792000000003</v>
      </c>
      <c r="P790" s="95">
        <f t="shared" si="523"/>
        <v>271.84344000000004</v>
      </c>
      <c r="Q790" s="98">
        <f t="shared" si="524"/>
        <v>489.31819200000007</v>
      </c>
      <c r="R790" s="119"/>
    </row>
    <row r="791" spans="1:18" x14ac:dyDescent="0.3">
      <c r="A791" s="86" t="str">
        <f>IF(TRIM(H791)&lt;&gt;"",COUNTA(H$9:$H791)&amp;"","")</f>
        <v>568</v>
      </c>
      <c r="B791" s="87" t="s">
        <v>846</v>
      </c>
      <c r="C791" s="87" t="s">
        <v>847</v>
      </c>
      <c r="D791" s="88"/>
      <c r="E791" s="100" t="s">
        <v>865</v>
      </c>
      <c r="F791" s="90">
        <v>12</v>
      </c>
      <c r="H791" s="91" t="s">
        <v>210</v>
      </c>
      <c r="I791" s="92">
        <v>0.1</v>
      </c>
      <c r="J791" s="93">
        <f t="shared" si="519"/>
        <v>13.2</v>
      </c>
      <c r="K791" s="94">
        <v>0.72599999999999998</v>
      </c>
      <c r="L791" s="95">
        <f t="shared" si="520"/>
        <v>9.5831999999999997</v>
      </c>
      <c r="M791" s="96">
        <f t="shared" si="521"/>
        <v>75</v>
      </c>
      <c r="N791" s="97">
        <v>1.21E-2</v>
      </c>
      <c r="O791" s="97">
        <f t="shared" si="522"/>
        <v>0.15971999999999997</v>
      </c>
      <c r="P791" s="95">
        <f t="shared" si="523"/>
        <v>11.978999999999997</v>
      </c>
      <c r="Q791" s="98">
        <f t="shared" si="524"/>
        <v>21.562199999999997</v>
      </c>
      <c r="R791" s="119"/>
    </row>
    <row r="792" spans="1:18" x14ac:dyDescent="0.3">
      <c r="A792" s="86" t="str">
        <f>IF(TRIM(H792)&lt;&gt;"",COUNTA(H$9:$H792)&amp;"","")</f>
        <v>569</v>
      </c>
      <c r="B792" s="87" t="s">
        <v>846</v>
      </c>
      <c r="C792" s="87" t="s">
        <v>847</v>
      </c>
      <c r="D792" s="88"/>
      <c r="E792" s="100" t="s">
        <v>866</v>
      </c>
      <c r="F792" s="90">
        <v>1540.2599999999998</v>
      </c>
      <c r="H792" s="91" t="s">
        <v>210</v>
      </c>
      <c r="I792" s="92">
        <v>0.1</v>
      </c>
      <c r="J792" s="93">
        <f t="shared" si="519"/>
        <v>1694.2859999999998</v>
      </c>
      <c r="K792" s="94">
        <v>0.42</v>
      </c>
      <c r="L792" s="95">
        <f t="shared" si="520"/>
        <v>711.60011999999995</v>
      </c>
      <c r="M792" s="96">
        <f t="shared" si="521"/>
        <v>75</v>
      </c>
      <c r="N792" s="97">
        <v>6.9999999999999993E-3</v>
      </c>
      <c r="O792" s="97">
        <f t="shared" si="522"/>
        <v>11.860001999999998</v>
      </c>
      <c r="P792" s="95">
        <f t="shared" si="523"/>
        <v>889.50014999999985</v>
      </c>
      <c r="Q792" s="98">
        <f t="shared" si="524"/>
        <v>1601.1002699999999</v>
      </c>
      <c r="R792" s="119"/>
    </row>
    <row r="793" spans="1:18" x14ac:dyDescent="0.3">
      <c r="A793" s="86" t="str">
        <f>IF(TRIM(H793)&lt;&gt;"",COUNTA(H$9:$H793)&amp;"","")</f>
        <v>570</v>
      </c>
      <c r="B793" s="87" t="s">
        <v>846</v>
      </c>
      <c r="C793" s="87" t="s">
        <v>847</v>
      </c>
      <c r="D793" s="88"/>
      <c r="E793" s="100" t="s">
        <v>867</v>
      </c>
      <c r="F793" s="90">
        <v>9</v>
      </c>
      <c r="H793" s="91" t="s">
        <v>210</v>
      </c>
      <c r="I793" s="92">
        <v>0.1</v>
      </c>
      <c r="J793" s="93">
        <f t="shared" si="519"/>
        <v>9.9</v>
      </c>
      <c r="K793" s="94">
        <v>0.42</v>
      </c>
      <c r="L793" s="95">
        <f t="shared" si="520"/>
        <v>4.1580000000000004</v>
      </c>
      <c r="M793" s="96">
        <f t="shared" si="521"/>
        <v>75</v>
      </c>
      <c r="N793" s="97">
        <v>6.9999999999999993E-3</v>
      </c>
      <c r="O793" s="97">
        <f t="shared" si="522"/>
        <v>6.93E-2</v>
      </c>
      <c r="P793" s="95">
        <f t="shared" si="523"/>
        <v>5.1974999999999998</v>
      </c>
      <c r="Q793" s="98">
        <f t="shared" si="524"/>
        <v>9.3554999999999993</v>
      </c>
      <c r="R793" s="119"/>
    </row>
    <row r="794" spans="1:18" x14ac:dyDescent="0.3">
      <c r="A794" s="86" t="str">
        <f>IF(TRIM(H794)&lt;&gt;"",COUNTA(H$9:$H794)&amp;"","")</f>
        <v>571</v>
      </c>
      <c r="B794" s="87" t="s">
        <v>846</v>
      </c>
      <c r="C794" s="87" t="s">
        <v>847</v>
      </c>
      <c r="D794" s="88"/>
      <c r="E794" s="100" t="s">
        <v>851</v>
      </c>
      <c r="F794" s="90">
        <v>8995.59</v>
      </c>
      <c r="H794" s="91" t="s">
        <v>210</v>
      </c>
      <c r="I794" s="92">
        <v>0.1</v>
      </c>
      <c r="J794" s="93">
        <f t="shared" si="519"/>
        <v>9895.1489999999994</v>
      </c>
      <c r="K794" s="94">
        <v>0.24</v>
      </c>
      <c r="L794" s="95">
        <f t="shared" si="520"/>
        <v>2374.8357599999999</v>
      </c>
      <c r="M794" s="96">
        <f t="shared" si="521"/>
        <v>75</v>
      </c>
      <c r="N794" s="97">
        <v>4.000000000000001E-3</v>
      </c>
      <c r="O794" s="97">
        <f t="shared" si="522"/>
        <v>39.580596000000007</v>
      </c>
      <c r="P794" s="95">
        <f t="shared" si="523"/>
        <v>2968.5447000000004</v>
      </c>
      <c r="Q794" s="98">
        <f t="shared" si="524"/>
        <v>5343.3804600000003</v>
      </c>
      <c r="R794" s="119"/>
    </row>
    <row r="795" spans="1:18" x14ac:dyDescent="0.3">
      <c r="A795" s="86" t="str">
        <f>IF(TRIM(H795)&lt;&gt;"",COUNTA(H$9:$H795)&amp;"","")</f>
        <v>572</v>
      </c>
      <c r="B795" s="87" t="s">
        <v>846</v>
      </c>
      <c r="C795" s="87" t="s">
        <v>847</v>
      </c>
      <c r="D795" s="88"/>
      <c r="E795" s="100" t="s">
        <v>852</v>
      </c>
      <c r="F795" s="90">
        <v>712.43999999999994</v>
      </c>
      <c r="H795" s="91" t="s">
        <v>210</v>
      </c>
      <c r="I795" s="92">
        <v>0.1</v>
      </c>
      <c r="J795" s="93">
        <f t="shared" si="519"/>
        <v>783.68399999999997</v>
      </c>
      <c r="K795" s="94">
        <v>0.24</v>
      </c>
      <c r="L795" s="95">
        <f t="shared" si="520"/>
        <v>188.08416</v>
      </c>
      <c r="M795" s="96">
        <f t="shared" si="521"/>
        <v>75</v>
      </c>
      <c r="N795" s="97">
        <v>4.000000000000001E-3</v>
      </c>
      <c r="O795" s="97">
        <f t="shared" si="522"/>
        <v>3.1347360000000006</v>
      </c>
      <c r="P795" s="95">
        <f t="shared" si="523"/>
        <v>235.10520000000005</v>
      </c>
      <c r="Q795" s="98">
        <f t="shared" si="524"/>
        <v>423.18936000000008</v>
      </c>
      <c r="R795" s="119"/>
    </row>
    <row r="796" spans="1:18" x14ac:dyDescent="0.3">
      <c r="A796" s="86" t="str">
        <f>IF(TRIM(H796)&lt;&gt;"",COUNTA(H$9:$H796)&amp;"","")</f>
        <v>573</v>
      </c>
      <c r="B796" s="87" t="s">
        <v>846</v>
      </c>
      <c r="C796" s="87" t="s">
        <v>847</v>
      </c>
      <c r="D796" s="88"/>
      <c r="E796" s="100" t="s">
        <v>854</v>
      </c>
      <c r="F796" s="90">
        <v>879.79</v>
      </c>
      <c r="H796" s="91" t="s">
        <v>210</v>
      </c>
      <c r="I796" s="92">
        <v>0.1</v>
      </c>
      <c r="J796" s="93">
        <f t="shared" si="519"/>
        <v>967.76900000000001</v>
      </c>
      <c r="K796" s="94">
        <v>0.76800000000000002</v>
      </c>
      <c r="L796" s="95">
        <f t="shared" si="520"/>
        <v>743.24659199999996</v>
      </c>
      <c r="M796" s="96">
        <f t="shared" si="521"/>
        <v>75</v>
      </c>
      <c r="N796" s="97">
        <v>1.2800000000000001E-2</v>
      </c>
      <c r="O796" s="97">
        <f t="shared" si="522"/>
        <v>12.3874432</v>
      </c>
      <c r="P796" s="95">
        <f t="shared" si="523"/>
        <v>929.05823999999996</v>
      </c>
      <c r="Q796" s="98">
        <f t="shared" si="524"/>
        <v>1672.3048319999998</v>
      </c>
      <c r="R796" s="119"/>
    </row>
    <row r="797" spans="1:18" x14ac:dyDescent="0.3">
      <c r="A797" s="86" t="str">
        <f>IF(TRIM(H797)&lt;&gt;"",COUNTA(H$9:$H797)&amp;"","")</f>
        <v>574</v>
      </c>
      <c r="B797" s="87" t="s">
        <v>846</v>
      </c>
      <c r="C797" s="87" t="s">
        <v>847</v>
      </c>
      <c r="D797" s="88"/>
      <c r="E797" s="100" t="s">
        <v>868</v>
      </c>
      <c r="F797" s="90">
        <v>180.18</v>
      </c>
      <c r="H797" s="91" t="s">
        <v>210</v>
      </c>
      <c r="I797" s="92">
        <v>0.1</v>
      </c>
      <c r="J797" s="93">
        <f t="shared" si="519"/>
        <v>198.19800000000001</v>
      </c>
      <c r="K797" s="94">
        <v>0.66</v>
      </c>
      <c r="L797" s="95">
        <f t="shared" si="520"/>
        <v>130.81068000000002</v>
      </c>
      <c r="M797" s="96">
        <f t="shared" si="521"/>
        <v>75</v>
      </c>
      <c r="N797" s="97">
        <v>1.1000000000000001E-2</v>
      </c>
      <c r="O797" s="97">
        <f t="shared" si="522"/>
        <v>2.1801780000000002</v>
      </c>
      <c r="P797" s="95">
        <f t="shared" si="523"/>
        <v>163.51335</v>
      </c>
      <c r="Q797" s="98">
        <f t="shared" si="524"/>
        <v>294.32402999999999</v>
      </c>
      <c r="R797" s="119"/>
    </row>
    <row r="798" spans="1:18" x14ac:dyDescent="0.3">
      <c r="A798" s="86" t="str">
        <f>IF(TRIM(H798)&lt;&gt;"",COUNTA(H$9:$H798)&amp;"","")</f>
        <v/>
      </c>
      <c r="B798" s="87"/>
      <c r="C798" s="87"/>
      <c r="D798" s="88"/>
      <c r="E798" s="100"/>
      <c r="F798" s="90"/>
      <c r="H798" s="91"/>
      <c r="I798" s="92" t="str">
        <f t="shared" si="518"/>
        <v/>
      </c>
      <c r="J798" s="93" t="str">
        <f t="shared" si="519"/>
        <v/>
      </c>
      <c r="K798" s="94" t="s">
        <v>549</v>
      </c>
      <c r="L798" s="95" t="str">
        <f t="shared" si="520"/>
        <v/>
      </c>
      <c r="M798" s="96" t="str">
        <f t="shared" si="521"/>
        <v/>
      </c>
      <c r="N798" s="97" t="s">
        <v>549</v>
      </c>
      <c r="O798" s="97" t="str">
        <f t="shared" si="522"/>
        <v/>
      </c>
      <c r="P798" s="95" t="str">
        <f t="shared" si="523"/>
        <v/>
      </c>
      <c r="Q798" s="98" t="str">
        <f t="shared" si="524"/>
        <v/>
      </c>
      <c r="R798" s="119"/>
    </row>
    <row r="799" spans="1:18" ht="15.6" x14ac:dyDescent="0.3">
      <c r="A799" s="86" t="str">
        <f>IF(TRIM(H799)&lt;&gt;"",COUNTA(H$9:$H799)&amp;"","")</f>
        <v/>
      </c>
      <c r="B799" s="87"/>
      <c r="C799" s="87"/>
      <c r="D799" s="88"/>
      <c r="E799" s="164" t="s">
        <v>195</v>
      </c>
      <c r="F799" s="90"/>
      <c r="H799" s="91"/>
      <c r="I799" s="92" t="str">
        <f t="shared" si="518"/>
        <v/>
      </c>
      <c r="J799" s="93" t="str">
        <f t="shared" si="519"/>
        <v/>
      </c>
      <c r="K799" s="94" t="s">
        <v>549</v>
      </c>
      <c r="L799" s="95" t="str">
        <f t="shared" si="520"/>
        <v/>
      </c>
      <c r="M799" s="96" t="str">
        <f t="shared" si="521"/>
        <v/>
      </c>
      <c r="N799" s="97" t="s">
        <v>549</v>
      </c>
      <c r="O799" s="97" t="str">
        <f t="shared" si="522"/>
        <v/>
      </c>
      <c r="P799" s="95" t="str">
        <f t="shared" si="523"/>
        <v/>
      </c>
      <c r="Q799" s="98" t="str">
        <f t="shared" si="524"/>
        <v/>
      </c>
      <c r="R799" s="119"/>
    </row>
    <row r="800" spans="1:18" x14ac:dyDescent="0.3">
      <c r="A800" s="86" t="str">
        <f>IF(TRIM(H800)&lt;&gt;"",COUNTA(H$9:$H800)&amp;"","")</f>
        <v/>
      </c>
      <c r="B800" s="87"/>
      <c r="C800" s="87"/>
      <c r="D800" s="88"/>
      <c r="E800" s="125" t="s">
        <v>196</v>
      </c>
      <c r="F800" s="90"/>
      <c r="H800" s="91"/>
      <c r="I800" s="92" t="str">
        <f t="shared" si="518"/>
        <v/>
      </c>
      <c r="J800" s="93" t="str">
        <f t="shared" si="519"/>
        <v/>
      </c>
      <c r="K800" s="94" t="s">
        <v>549</v>
      </c>
      <c r="L800" s="95" t="str">
        <f t="shared" si="520"/>
        <v/>
      </c>
      <c r="M800" s="96" t="str">
        <f t="shared" si="521"/>
        <v/>
      </c>
      <c r="N800" s="97" t="s">
        <v>549</v>
      </c>
      <c r="O800" s="97" t="str">
        <f t="shared" si="522"/>
        <v/>
      </c>
      <c r="P800" s="95" t="str">
        <f t="shared" si="523"/>
        <v/>
      </c>
      <c r="Q800" s="98" t="str">
        <f t="shared" si="524"/>
        <v/>
      </c>
      <c r="R800" s="119"/>
    </row>
    <row r="801" spans="1:18" x14ac:dyDescent="0.3">
      <c r="A801" s="86" t="str">
        <f>IF(TRIM(H801)&lt;&gt;"",COUNTA(H$9:$H801)&amp;"","")</f>
        <v>575</v>
      </c>
      <c r="B801" s="87" t="s">
        <v>817</v>
      </c>
      <c r="C801" s="87" t="s">
        <v>817</v>
      </c>
      <c r="D801" s="88"/>
      <c r="E801" s="89" t="s">
        <v>869</v>
      </c>
      <c r="F801" s="90">
        <v>9</v>
      </c>
      <c r="H801" s="91" t="s">
        <v>239</v>
      </c>
      <c r="I801" s="92">
        <f t="shared" si="518"/>
        <v>0</v>
      </c>
      <c r="J801" s="93">
        <f t="shared" si="519"/>
        <v>9</v>
      </c>
      <c r="K801" s="94">
        <v>80</v>
      </c>
      <c r="L801" s="95">
        <f t="shared" si="520"/>
        <v>720</v>
      </c>
      <c r="M801" s="96">
        <f t="shared" si="521"/>
        <v>75</v>
      </c>
      <c r="N801" s="97">
        <v>0.5</v>
      </c>
      <c r="O801" s="97">
        <f t="shared" si="522"/>
        <v>4.5</v>
      </c>
      <c r="P801" s="95">
        <f t="shared" si="523"/>
        <v>337.5</v>
      </c>
      <c r="Q801" s="98">
        <f t="shared" si="524"/>
        <v>1057.5</v>
      </c>
      <c r="R801" s="119"/>
    </row>
    <row r="802" spans="1:18" x14ac:dyDescent="0.3">
      <c r="A802" s="86" t="str">
        <f>IF(TRIM(H802)&lt;&gt;"",COUNTA(H$9:$H802)&amp;"","")</f>
        <v>576</v>
      </c>
      <c r="B802" s="87" t="s">
        <v>817</v>
      </c>
      <c r="C802" s="87" t="s">
        <v>817</v>
      </c>
      <c r="D802" s="88"/>
      <c r="E802" s="89" t="s">
        <v>870</v>
      </c>
      <c r="F802" s="90">
        <v>21</v>
      </c>
      <c r="H802" s="91" t="s">
        <v>239</v>
      </c>
      <c r="I802" s="92">
        <f t="shared" si="518"/>
        <v>0</v>
      </c>
      <c r="J802" s="93">
        <f t="shared" si="519"/>
        <v>21</v>
      </c>
      <c r="K802" s="94">
        <v>108</v>
      </c>
      <c r="L802" s="95">
        <f t="shared" si="520"/>
        <v>2268</v>
      </c>
      <c r="M802" s="96">
        <f t="shared" si="521"/>
        <v>75</v>
      </c>
      <c r="N802" s="97">
        <v>0.67500000000000004</v>
      </c>
      <c r="O802" s="97">
        <f t="shared" si="522"/>
        <v>14.175000000000001</v>
      </c>
      <c r="P802" s="95">
        <f t="shared" si="523"/>
        <v>1063.125</v>
      </c>
      <c r="Q802" s="98">
        <f t="shared" si="524"/>
        <v>3331.125</v>
      </c>
      <c r="R802" s="119"/>
    </row>
    <row r="803" spans="1:18" x14ac:dyDescent="0.3">
      <c r="A803" s="86" t="str">
        <f>IF(TRIM(H803)&lt;&gt;"",COUNTA(H$9:$H803)&amp;"","")</f>
        <v>577</v>
      </c>
      <c r="B803" s="87" t="s">
        <v>817</v>
      </c>
      <c r="C803" s="87" t="s">
        <v>817</v>
      </c>
      <c r="D803" s="88"/>
      <c r="E803" s="89" t="s">
        <v>871</v>
      </c>
      <c r="F803" s="90">
        <v>6</v>
      </c>
      <c r="H803" s="91" t="s">
        <v>239</v>
      </c>
      <c r="I803" s="92">
        <f t="shared" si="518"/>
        <v>0</v>
      </c>
      <c r="J803" s="93">
        <f t="shared" si="519"/>
        <v>6</v>
      </c>
      <c r="K803" s="94">
        <v>120</v>
      </c>
      <c r="L803" s="95">
        <f t="shared" si="520"/>
        <v>720</v>
      </c>
      <c r="M803" s="96">
        <f t="shared" si="521"/>
        <v>75</v>
      </c>
      <c r="N803" s="97">
        <v>0.75</v>
      </c>
      <c r="O803" s="97">
        <f t="shared" si="522"/>
        <v>4.5</v>
      </c>
      <c r="P803" s="95">
        <f t="shared" si="523"/>
        <v>337.5</v>
      </c>
      <c r="Q803" s="98">
        <f t="shared" si="524"/>
        <v>1057.5</v>
      </c>
      <c r="R803" s="119"/>
    </row>
    <row r="804" spans="1:18" ht="41.4" x14ac:dyDescent="0.3">
      <c r="A804" s="86" t="str">
        <f>IF(TRIM(H804)&lt;&gt;"",COUNTA(H$9:$H804)&amp;"","")</f>
        <v>578</v>
      </c>
      <c r="B804" s="87" t="s">
        <v>817</v>
      </c>
      <c r="C804" s="87" t="s">
        <v>817</v>
      </c>
      <c r="D804" s="88"/>
      <c r="E804" s="89" t="s">
        <v>872</v>
      </c>
      <c r="F804" s="90">
        <v>5</v>
      </c>
      <c r="H804" s="91" t="s">
        <v>239</v>
      </c>
      <c r="I804" s="92">
        <f t="shared" si="518"/>
        <v>0</v>
      </c>
      <c r="J804" s="93">
        <f t="shared" si="519"/>
        <v>5</v>
      </c>
      <c r="K804" s="94">
        <v>285</v>
      </c>
      <c r="L804" s="95">
        <f t="shared" si="520"/>
        <v>1425</v>
      </c>
      <c r="M804" s="96">
        <f t="shared" si="521"/>
        <v>75</v>
      </c>
      <c r="N804" s="97">
        <v>1.78125</v>
      </c>
      <c r="O804" s="97">
        <f t="shared" si="522"/>
        <v>8.90625</v>
      </c>
      <c r="P804" s="95">
        <f t="shared" si="523"/>
        <v>667.96875</v>
      </c>
      <c r="Q804" s="98">
        <f t="shared" si="524"/>
        <v>2092.96875</v>
      </c>
      <c r="R804" s="119"/>
    </row>
    <row r="805" spans="1:18" ht="41.4" x14ac:dyDescent="0.3">
      <c r="A805" s="86" t="str">
        <f>IF(TRIM(H805)&lt;&gt;"",COUNTA(H$9:$H805)&amp;"","")</f>
        <v>579</v>
      </c>
      <c r="B805" s="87" t="s">
        <v>817</v>
      </c>
      <c r="C805" s="87" t="s">
        <v>817</v>
      </c>
      <c r="D805" s="88"/>
      <c r="E805" s="89" t="s">
        <v>873</v>
      </c>
      <c r="F805" s="90">
        <v>2</v>
      </c>
      <c r="H805" s="91" t="s">
        <v>239</v>
      </c>
      <c r="I805" s="92">
        <f t="shared" si="518"/>
        <v>0</v>
      </c>
      <c r="J805" s="93">
        <f t="shared" si="519"/>
        <v>2</v>
      </c>
      <c r="K805" s="94">
        <v>435</v>
      </c>
      <c r="L805" s="95">
        <f t="shared" si="520"/>
        <v>870</v>
      </c>
      <c r="M805" s="96">
        <f t="shared" si="521"/>
        <v>75</v>
      </c>
      <c r="N805" s="97">
        <v>2.71875</v>
      </c>
      <c r="O805" s="97">
        <f t="shared" si="522"/>
        <v>5.4375</v>
      </c>
      <c r="P805" s="95">
        <f t="shared" si="523"/>
        <v>407.8125</v>
      </c>
      <c r="Q805" s="98">
        <f t="shared" si="524"/>
        <v>1277.8125</v>
      </c>
      <c r="R805" s="119"/>
    </row>
    <row r="806" spans="1:18" x14ac:dyDescent="0.3">
      <c r="A806" s="86" t="str">
        <f>IF(TRIM(H806)&lt;&gt;"",COUNTA(H$9:$H806)&amp;"","")</f>
        <v>580</v>
      </c>
      <c r="B806" s="87" t="s">
        <v>817</v>
      </c>
      <c r="C806" s="87" t="s">
        <v>817</v>
      </c>
      <c r="D806" s="88"/>
      <c r="E806" s="89" t="s">
        <v>874</v>
      </c>
      <c r="F806" s="90">
        <v>2</v>
      </c>
      <c r="H806" s="91" t="s">
        <v>239</v>
      </c>
      <c r="I806" s="92">
        <f t="shared" si="518"/>
        <v>0</v>
      </c>
      <c r="J806" s="93">
        <f t="shared" si="519"/>
        <v>2</v>
      </c>
      <c r="K806" s="94">
        <v>88</v>
      </c>
      <c r="L806" s="95">
        <f t="shared" si="520"/>
        <v>176</v>
      </c>
      <c r="M806" s="96">
        <f t="shared" si="521"/>
        <v>75</v>
      </c>
      <c r="N806" s="97">
        <v>0.55000000000000004</v>
      </c>
      <c r="O806" s="97">
        <f t="shared" si="522"/>
        <v>1.1000000000000001</v>
      </c>
      <c r="P806" s="95">
        <f t="shared" si="523"/>
        <v>82.5</v>
      </c>
      <c r="Q806" s="98">
        <f t="shared" si="524"/>
        <v>258.5</v>
      </c>
      <c r="R806" s="119"/>
    </row>
    <row r="807" spans="1:18" x14ac:dyDescent="0.3">
      <c r="A807" s="86" t="str">
        <f>IF(TRIM(H807)&lt;&gt;"",COUNTA(H$9:$H807)&amp;"","")</f>
        <v>581</v>
      </c>
      <c r="B807" s="87" t="s">
        <v>817</v>
      </c>
      <c r="C807" s="87" t="s">
        <v>817</v>
      </c>
      <c r="D807" s="88"/>
      <c r="E807" s="89" t="s">
        <v>875</v>
      </c>
      <c r="F807" s="90">
        <v>2</v>
      </c>
      <c r="H807" s="91" t="s">
        <v>239</v>
      </c>
      <c r="I807" s="92">
        <f t="shared" si="518"/>
        <v>0</v>
      </c>
      <c r="J807" s="93">
        <f t="shared" si="519"/>
        <v>2</v>
      </c>
      <c r="K807" s="94">
        <v>104</v>
      </c>
      <c r="L807" s="95">
        <f t="shared" si="520"/>
        <v>208</v>
      </c>
      <c r="M807" s="96">
        <f t="shared" si="521"/>
        <v>75</v>
      </c>
      <c r="N807" s="97">
        <v>0.65</v>
      </c>
      <c r="O807" s="97">
        <f t="shared" si="522"/>
        <v>1.3</v>
      </c>
      <c r="P807" s="95">
        <f t="shared" si="523"/>
        <v>97.5</v>
      </c>
      <c r="Q807" s="98">
        <f t="shared" si="524"/>
        <v>305.5</v>
      </c>
      <c r="R807" s="119"/>
    </row>
    <row r="808" spans="1:18" x14ac:dyDescent="0.3">
      <c r="A808" s="86" t="str">
        <f>IF(TRIM(H808)&lt;&gt;"",COUNTA(H$9:$H808)&amp;"","")</f>
        <v>582</v>
      </c>
      <c r="B808" s="87" t="s">
        <v>817</v>
      </c>
      <c r="C808" s="87" t="s">
        <v>817</v>
      </c>
      <c r="D808" s="88"/>
      <c r="E808" s="89" t="s">
        <v>876</v>
      </c>
      <c r="F808" s="90">
        <v>10</v>
      </c>
      <c r="H808" s="91" t="s">
        <v>239</v>
      </c>
      <c r="I808" s="92">
        <f t="shared" si="518"/>
        <v>0</v>
      </c>
      <c r="J808" s="93">
        <f t="shared" si="519"/>
        <v>10</v>
      </c>
      <c r="K808" s="94">
        <v>72</v>
      </c>
      <c r="L808" s="95">
        <f t="shared" si="520"/>
        <v>720</v>
      </c>
      <c r="M808" s="96">
        <f t="shared" si="521"/>
        <v>75</v>
      </c>
      <c r="N808" s="97">
        <v>0.45</v>
      </c>
      <c r="O808" s="97">
        <f t="shared" si="522"/>
        <v>4.5</v>
      </c>
      <c r="P808" s="95">
        <f t="shared" si="523"/>
        <v>337.5</v>
      </c>
      <c r="Q808" s="98">
        <f t="shared" si="524"/>
        <v>1057.5</v>
      </c>
      <c r="R808" s="119"/>
    </row>
    <row r="809" spans="1:18" x14ac:dyDescent="0.3">
      <c r="A809" s="86" t="str">
        <f>IF(TRIM(H809)&lt;&gt;"",COUNTA(H$9:$H809)&amp;"","")</f>
        <v>583</v>
      </c>
      <c r="B809" s="87" t="s">
        <v>817</v>
      </c>
      <c r="C809" s="87" t="s">
        <v>817</v>
      </c>
      <c r="D809" s="88"/>
      <c r="E809" s="89" t="s">
        <v>877</v>
      </c>
      <c r="F809" s="90">
        <v>2</v>
      </c>
      <c r="H809" s="91" t="s">
        <v>239</v>
      </c>
      <c r="I809" s="92">
        <f t="shared" si="518"/>
        <v>0</v>
      </c>
      <c r="J809" s="93">
        <f t="shared" si="519"/>
        <v>2</v>
      </c>
      <c r="K809" s="94">
        <v>72</v>
      </c>
      <c r="L809" s="95">
        <f t="shared" si="520"/>
        <v>144</v>
      </c>
      <c r="M809" s="96">
        <f t="shared" si="521"/>
        <v>75</v>
      </c>
      <c r="N809" s="97">
        <v>0.45</v>
      </c>
      <c r="O809" s="97">
        <f t="shared" si="522"/>
        <v>0.9</v>
      </c>
      <c r="P809" s="95">
        <f t="shared" si="523"/>
        <v>67.5</v>
      </c>
      <c r="Q809" s="98">
        <f t="shared" si="524"/>
        <v>211.5</v>
      </c>
      <c r="R809" s="119"/>
    </row>
    <row r="810" spans="1:18" x14ac:dyDescent="0.3">
      <c r="A810" s="86" t="str">
        <f>IF(TRIM(H810)&lt;&gt;"",COUNTA(H$9:$H810)&amp;"","")</f>
        <v>584</v>
      </c>
      <c r="B810" s="87" t="s">
        <v>817</v>
      </c>
      <c r="C810" s="87" t="s">
        <v>817</v>
      </c>
      <c r="D810" s="88"/>
      <c r="E810" s="89" t="s">
        <v>878</v>
      </c>
      <c r="F810" s="90">
        <v>4</v>
      </c>
      <c r="H810" s="91" t="s">
        <v>239</v>
      </c>
      <c r="I810" s="92">
        <f t="shared" si="518"/>
        <v>0</v>
      </c>
      <c r="J810" s="93">
        <f t="shared" si="519"/>
        <v>4</v>
      </c>
      <c r="K810" s="94">
        <v>118.4</v>
      </c>
      <c r="L810" s="95">
        <f t="shared" si="520"/>
        <v>473.6</v>
      </c>
      <c r="M810" s="96">
        <f t="shared" si="521"/>
        <v>75</v>
      </c>
      <c r="N810" s="97">
        <v>0.74</v>
      </c>
      <c r="O810" s="97">
        <f t="shared" si="522"/>
        <v>2.96</v>
      </c>
      <c r="P810" s="95">
        <f t="shared" si="523"/>
        <v>222</v>
      </c>
      <c r="Q810" s="98">
        <f t="shared" si="524"/>
        <v>695.6</v>
      </c>
      <c r="R810" s="119"/>
    </row>
    <row r="811" spans="1:18" x14ac:dyDescent="0.3">
      <c r="A811" s="86" t="str">
        <f>IF(TRIM(H811)&lt;&gt;"",COUNTA(H$9:$H811)&amp;"","")</f>
        <v>585</v>
      </c>
      <c r="B811" s="87" t="s">
        <v>817</v>
      </c>
      <c r="C811" s="87" t="s">
        <v>817</v>
      </c>
      <c r="D811" s="88"/>
      <c r="E811" s="89" t="s">
        <v>879</v>
      </c>
      <c r="F811" s="90">
        <v>1</v>
      </c>
      <c r="H811" s="91" t="s">
        <v>239</v>
      </c>
      <c r="I811" s="92">
        <f t="shared" si="518"/>
        <v>0</v>
      </c>
      <c r="J811" s="93">
        <f t="shared" si="519"/>
        <v>1</v>
      </c>
      <c r="K811" s="94">
        <v>100</v>
      </c>
      <c r="L811" s="95">
        <f t="shared" si="520"/>
        <v>100</v>
      </c>
      <c r="M811" s="96">
        <f t="shared" si="521"/>
        <v>75</v>
      </c>
      <c r="N811" s="97">
        <v>0.625</v>
      </c>
      <c r="O811" s="97">
        <f t="shared" si="522"/>
        <v>0.625</v>
      </c>
      <c r="P811" s="95">
        <f t="shared" si="523"/>
        <v>46.875</v>
      </c>
      <c r="Q811" s="98">
        <f t="shared" si="524"/>
        <v>146.875</v>
      </c>
      <c r="R811" s="119"/>
    </row>
    <row r="812" spans="1:18" x14ac:dyDescent="0.3">
      <c r="A812" s="86" t="str">
        <f>IF(TRIM(H812)&lt;&gt;"",COUNTA(H$9:$H812)&amp;"","")</f>
        <v>586</v>
      </c>
      <c r="B812" s="87" t="s">
        <v>817</v>
      </c>
      <c r="C812" s="87" t="s">
        <v>817</v>
      </c>
      <c r="D812" s="88"/>
      <c r="E812" s="89" t="s">
        <v>880</v>
      </c>
      <c r="F812" s="90">
        <v>1</v>
      </c>
      <c r="H812" s="91" t="s">
        <v>239</v>
      </c>
      <c r="I812" s="92">
        <f t="shared" si="518"/>
        <v>0</v>
      </c>
      <c r="J812" s="93">
        <f t="shared" si="519"/>
        <v>1</v>
      </c>
      <c r="K812" s="94">
        <v>100</v>
      </c>
      <c r="L812" s="95">
        <f t="shared" si="520"/>
        <v>100</v>
      </c>
      <c r="M812" s="96">
        <f t="shared" si="521"/>
        <v>75</v>
      </c>
      <c r="N812" s="97">
        <v>0.625</v>
      </c>
      <c r="O812" s="97">
        <f t="shared" si="522"/>
        <v>0.625</v>
      </c>
      <c r="P812" s="95">
        <f t="shared" si="523"/>
        <v>46.875</v>
      </c>
      <c r="Q812" s="98">
        <f t="shared" si="524"/>
        <v>146.875</v>
      </c>
      <c r="R812" s="119"/>
    </row>
    <row r="813" spans="1:18" x14ac:dyDescent="0.3">
      <c r="A813" s="86" t="str">
        <f>IF(TRIM(H813)&lt;&gt;"",COUNTA(H$9:$H813)&amp;"","")</f>
        <v>587</v>
      </c>
      <c r="B813" s="87" t="s">
        <v>817</v>
      </c>
      <c r="C813" s="87" t="s">
        <v>817</v>
      </c>
      <c r="D813" s="88"/>
      <c r="E813" s="89" t="s">
        <v>881</v>
      </c>
      <c r="F813" s="90">
        <v>1</v>
      </c>
      <c r="H813" s="91" t="s">
        <v>239</v>
      </c>
      <c r="I813" s="92">
        <f t="shared" si="518"/>
        <v>0</v>
      </c>
      <c r="J813" s="93">
        <f t="shared" si="519"/>
        <v>1</v>
      </c>
      <c r="K813" s="94">
        <v>160</v>
      </c>
      <c r="L813" s="95">
        <f t="shared" si="520"/>
        <v>160</v>
      </c>
      <c r="M813" s="96">
        <f t="shared" si="521"/>
        <v>75</v>
      </c>
      <c r="N813" s="97">
        <v>1</v>
      </c>
      <c r="O813" s="97">
        <f t="shared" si="522"/>
        <v>1</v>
      </c>
      <c r="P813" s="95">
        <f t="shared" si="523"/>
        <v>75</v>
      </c>
      <c r="Q813" s="98">
        <f t="shared" si="524"/>
        <v>235</v>
      </c>
      <c r="R813" s="119"/>
    </row>
    <row r="814" spans="1:18" x14ac:dyDescent="0.3">
      <c r="A814" s="86" t="str">
        <f>IF(TRIM(H814)&lt;&gt;"",COUNTA(H$9:$H814)&amp;"","")</f>
        <v>588</v>
      </c>
      <c r="B814" s="87" t="s">
        <v>817</v>
      </c>
      <c r="C814" s="87" t="s">
        <v>817</v>
      </c>
      <c r="D814" s="88"/>
      <c r="E814" s="89" t="s">
        <v>882</v>
      </c>
      <c r="F814" s="90">
        <v>9</v>
      </c>
      <c r="H814" s="91" t="s">
        <v>239</v>
      </c>
      <c r="I814" s="92">
        <f t="shared" si="518"/>
        <v>0</v>
      </c>
      <c r="J814" s="93">
        <f t="shared" si="519"/>
        <v>9</v>
      </c>
      <c r="K814" s="94">
        <v>112</v>
      </c>
      <c r="L814" s="95">
        <f t="shared" si="520"/>
        <v>1008</v>
      </c>
      <c r="M814" s="96">
        <f t="shared" si="521"/>
        <v>75</v>
      </c>
      <c r="N814" s="97">
        <v>0.7</v>
      </c>
      <c r="O814" s="97">
        <f t="shared" si="522"/>
        <v>6.3</v>
      </c>
      <c r="P814" s="95">
        <f t="shared" si="523"/>
        <v>472.5</v>
      </c>
      <c r="Q814" s="98">
        <f t="shared" si="524"/>
        <v>1480.5</v>
      </c>
      <c r="R814" s="119"/>
    </row>
    <row r="815" spans="1:18" x14ac:dyDescent="0.3">
      <c r="A815" s="86" t="str">
        <f>IF(TRIM(H815)&lt;&gt;"",COUNTA(H$9:$H815)&amp;"","")</f>
        <v>589</v>
      </c>
      <c r="B815" s="87" t="s">
        <v>817</v>
      </c>
      <c r="C815" s="87" t="s">
        <v>817</v>
      </c>
      <c r="D815" s="88"/>
      <c r="E815" s="89" t="s">
        <v>883</v>
      </c>
      <c r="F815" s="90">
        <v>1</v>
      </c>
      <c r="H815" s="91" t="s">
        <v>239</v>
      </c>
      <c r="I815" s="92">
        <f t="shared" si="518"/>
        <v>0</v>
      </c>
      <c r="J815" s="93">
        <f t="shared" si="519"/>
        <v>1</v>
      </c>
      <c r="K815" s="94">
        <v>52</v>
      </c>
      <c r="L815" s="95">
        <f t="shared" si="520"/>
        <v>52</v>
      </c>
      <c r="M815" s="96">
        <f t="shared" si="521"/>
        <v>75</v>
      </c>
      <c r="N815" s="97">
        <v>0.32500000000000001</v>
      </c>
      <c r="O815" s="97">
        <f t="shared" si="522"/>
        <v>0.32500000000000001</v>
      </c>
      <c r="P815" s="95">
        <f t="shared" si="523"/>
        <v>24.375</v>
      </c>
      <c r="Q815" s="98">
        <f t="shared" si="524"/>
        <v>76.375</v>
      </c>
      <c r="R815" s="119"/>
    </row>
    <row r="816" spans="1:18" x14ac:dyDescent="0.3">
      <c r="A816" s="86" t="str">
        <f>IF(TRIM(H816)&lt;&gt;"",COUNTA(H$9:$H816)&amp;"","")</f>
        <v>590</v>
      </c>
      <c r="B816" s="87" t="s">
        <v>817</v>
      </c>
      <c r="C816" s="87" t="s">
        <v>817</v>
      </c>
      <c r="D816" s="88"/>
      <c r="E816" s="89" t="s">
        <v>884</v>
      </c>
      <c r="F816" s="90">
        <v>2</v>
      </c>
      <c r="H816" s="91" t="s">
        <v>239</v>
      </c>
      <c r="I816" s="92">
        <f t="shared" si="518"/>
        <v>0</v>
      </c>
      <c r="J816" s="93">
        <f t="shared" si="519"/>
        <v>2</v>
      </c>
      <c r="K816" s="94">
        <v>84</v>
      </c>
      <c r="L816" s="95">
        <f t="shared" si="520"/>
        <v>168</v>
      </c>
      <c r="M816" s="96">
        <f t="shared" si="521"/>
        <v>75</v>
      </c>
      <c r="N816" s="97">
        <v>0.52500000000000002</v>
      </c>
      <c r="O816" s="97">
        <f t="shared" si="522"/>
        <v>1.05</v>
      </c>
      <c r="P816" s="95">
        <f t="shared" si="523"/>
        <v>78.75</v>
      </c>
      <c r="Q816" s="98">
        <f t="shared" si="524"/>
        <v>246.75</v>
      </c>
      <c r="R816" s="119"/>
    </row>
    <row r="817" spans="1:18" x14ac:dyDescent="0.3">
      <c r="A817" s="86" t="str">
        <f>IF(TRIM(H817)&lt;&gt;"",COUNTA(H$9:$H817)&amp;"","")</f>
        <v/>
      </c>
      <c r="B817" s="87"/>
      <c r="C817" s="87"/>
      <c r="D817" s="88"/>
      <c r="E817" s="100"/>
      <c r="F817" s="90"/>
      <c r="H817" s="91"/>
      <c r="I817" s="92"/>
      <c r="J817" s="93"/>
      <c r="K817" s="94" t="s">
        <v>549</v>
      </c>
      <c r="L817" s="95"/>
      <c r="M817" s="96"/>
      <c r="N817" s="97" t="s">
        <v>549</v>
      </c>
      <c r="O817" s="97"/>
      <c r="P817" s="95"/>
      <c r="Q817" s="98"/>
      <c r="R817" s="119"/>
    </row>
    <row r="818" spans="1:18" ht="15.6" x14ac:dyDescent="0.3">
      <c r="A818" s="86" t="str">
        <f>IF(TRIM(H818)&lt;&gt;"",COUNTA(H$9:$H818)&amp;"","")</f>
        <v/>
      </c>
      <c r="B818" s="87"/>
      <c r="C818" s="87"/>
      <c r="D818" s="88"/>
      <c r="E818" s="164" t="s">
        <v>885</v>
      </c>
      <c r="F818" s="90"/>
      <c r="H818" s="91"/>
      <c r="I818" s="92" t="str">
        <f t="shared" si="518"/>
        <v/>
      </c>
      <c r="J818" s="93" t="str">
        <f t="shared" si="519"/>
        <v/>
      </c>
      <c r="K818" s="94" t="s">
        <v>549</v>
      </c>
      <c r="L818" s="95" t="str">
        <f t="shared" si="520"/>
        <v/>
      </c>
      <c r="M818" s="96" t="str">
        <f t="shared" si="521"/>
        <v/>
      </c>
      <c r="N818" s="97" t="s">
        <v>549</v>
      </c>
      <c r="O818" s="97" t="str">
        <f t="shared" si="522"/>
        <v/>
      </c>
      <c r="P818" s="95" t="str">
        <f t="shared" si="523"/>
        <v/>
      </c>
      <c r="Q818" s="98" t="str">
        <f t="shared" si="524"/>
        <v/>
      </c>
      <c r="R818" s="119"/>
    </row>
    <row r="819" spans="1:18" x14ac:dyDescent="0.3">
      <c r="A819" s="86" t="str">
        <f>IF(TRIM(H819)&lt;&gt;"",COUNTA(H$9:$H819)&amp;"","")</f>
        <v>591</v>
      </c>
      <c r="B819" s="87" t="s">
        <v>846</v>
      </c>
      <c r="C819" s="87" t="s">
        <v>886</v>
      </c>
      <c r="D819" s="88"/>
      <c r="E819" s="89" t="s">
        <v>887</v>
      </c>
      <c r="F819" s="90">
        <v>17</v>
      </c>
      <c r="H819" s="91" t="s">
        <v>239</v>
      </c>
      <c r="I819" s="92">
        <f t="shared" si="518"/>
        <v>0</v>
      </c>
      <c r="J819" s="93">
        <f t="shared" si="519"/>
        <v>17</v>
      </c>
      <c r="K819" s="94">
        <v>180</v>
      </c>
      <c r="L819" s="95">
        <f t="shared" si="520"/>
        <v>3060</v>
      </c>
      <c r="M819" s="96">
        <f t="shared" si="521"/>
        <v>75</v>
      </c>
      <c r="N819" s="97">
        <v>1.125</v>
      </c>
      <c r="O819" s="97">
        <f t="shared" si="522"/>
        <v>19.125</v>
      </c>
      <c r="P819" s="95">
        <f t="shared" si="523"/>
        <v>1434.375</v>
      </c>
      <c r="Q819" s="98">
        <f t="shared" si="524"/>
        <v>4494.375</v>
      </c>
      <c r="R819" s="119"/>
    </row>
    <row r="820" spans="1:18" x14ac:dyDescent="0.3">
      <c r="A820" s="86" t="str">
        <f>IF(TRIM(H820)&lt;&gt;"",COUNTA(H$9:$H820)&amp;"","")</f>
        <v>592</v>
      </c>
      <c r="B820" s="87" t="s">
        <v>846</v>
      </c>
      <c r="C820" s="87" t="s">
        <v>886</v>
      </c>
      <c r="D820" s="88"/>
      <c r="E820" s="89" t="s">
        <v>888</v>
      </c>
      <c r="F820" s="90">
        <v>10</v>
      </c>
      <c r="H820" s="91" t="s">
        <v>239</v>
      </c>
      <c r="I820" s="92">
        <f t="shared" si="518"/>
        <v>0</v>
      </c>
      <c r="J820" s="93">
        <f t="shared" si="519"/>
        <v>10</v>
      </c>
      <c r="K820" s="94">
        <v>180</v>
      </c>
      <c r="L820" s="95">
        <f t="shared" si="520"/>
        <v>1800</v>
      </c>
      <c r="M820" s="96">
        <f t="shared" si="521"/>
        <v>75</v>
      </c>
      <c r="N820" s="97">
        <v>1.125</v>
      </c>
      <c r="O820" s="97">
        <f t="shared" si="522"/>
        <v>11.25</v>
      </c>
      <c r="P820" s="95">
        <f t="shared" si="523"/>
        <v>843.75</v>
      </c>
      <c r="Q820" s="98">
        <f t="shared" si="524"/>
        <v>2643.75</v>
      </c>
      <c r="R820" s="119"/>
    </row>
    <row r="821" spans="1:18" x14ac:dyDescent="0.3">
      <c r="A821" s="86" t="str">
        <f>IF(TRIM(H821)&lt;&gt;"",COUNTA(H$9:$H821)&amp;"","")</f>
        <v>593</v>
      </c>
      <c r="B821" s="87" t="s">
        <v>846</v>
      </c>
      <c r="C821" s="87" t="s">
        <v>886</v>
      </c>
      <c r="D821" s="88"/>
      <c r="E821" s="89" t="s">
        <v>889</v>
      </c>
      <c r="F821" s="90">
        <v>3</v>
      </c>
      <c r="H821" s="91" t="s">
        <v>239</v>
      </c>
      <c r="I821" s="92">
        <f t="shared" si="518"/>
        <v>0</v>
      </c>
      <c r="J821" s="93">
        <f t="shared" si="519"/>
        <v>3</v>
      </c>
      <c r="K821" s="94">
        <v>168</v>
      </c>
      <c r="L821" s="95">
        <f t="shared" si="520"/>
        <v>504</v>
      </c>
      <c r="M821" s="96">
        <f t="shared" si="521"/>
        <v>75</v>
      </c>
      <c r="N821" s="97">
        <v>1.05</v>
      </c>
      <c r="O821" s="97">
        <f t="shared" si="522"/>
        <v>3.1500000000000004</v>
      </c>
      <c r="P821" s="95">
        <f t="shared" si="523"/>
        <v>236.25000000000003</v>
      </c>
      <c r="Q821" s="98">
        <f t="shared" si="524"/>
        <v>740.25</v>
      </c>
      <c r="R821" s="119"/>
    </row>
    <row r="822" spans="1:18" x14ac:dyDescent="0.3">
      <c r="A822" s="86" t="str">
        <f>IF(TRIM(H822)&lt;&gt;"",COUNTA(H$9:$H822)&amp;"","")</f>
        <v>594</v>
      </c>
      <c r="B822" s="87" t="s">
        <v>846</v>
      </c>
      <c r="C822" s="87" t="s">
        <v>886</v>
      </c>
      <c r="D822" s="88"/>
      <c r="E822" s="89" t="s">
        <v>890</v>
      </c>
      <c r="F822" s="90">
        <v>19</v>
      </c>
      <c r="H822" s="91" t="s">
        <v>239</v>
      </c>
      <c r="I822" s="92">
        <f t="shared" si="518"/>
        <v>0</v>
      </c>
      <c r="J822" s="93">
        <f t="shared" si="519"/>
        <v>19</v>
      </c>
      <c r="K822" s="94">
        <v>164</v>
      </c>
      <c r="L822" s="95">
        <f t="shared" si="520"/>
        <v>3116</v>
      </c>
      <c r="M822" s="96">
        <f t="shared" si="521"/>
        <v>75</v>
      </c>
      <c r="N822" s="97">
        <v>1.0249999999999999</v>
      </c>
      <c r="O822" s="97">
        <f t="shared" si="522"/>
        <v>19.474999999999998</v>
      </c>
      <c r="P822" s="95">
        <f t="shared" si="523"/>
        <v>1460.6249999999998</v>
      </c>
      <c r="Q822" s="98">
        <f t="shared" si="524"/>
        <v>4576.625</v>
      </c>
      <c r="R822" s="119"/>
    </row>
    <row r="823" spans="1:18" x14ac:dyDescent="0.3">
      <c r="A823" s="86" t="str">
        <f>IF(TRIM(H823)&lt;&gt;"",COUNTA(H$9:$H823)&amp;"","")</f>
        <v>595</v>
      </c>
      <c r="B823" s="87" t="s">
        <v>846</v>
      </c>
      <c r="C823" s="87" t="s">
        <v>886</v>
      </c>
      <c r="D823" s="88"/>
      <c r="E823" s="89" t="s">
        <v>891</v>
      </c>
      <c r="F823" s="90">
        <v>1</v>
      </c>
      <c r="H823" s="91" t="s">
        <v>239</v>
      </c>
      <c r="I823" s="92">
        <f t="shared" si="518"/>
        <v>0</v>
      </c>
      <c r="J823" s="93">
        <f t="shared" si="519"/>
        <v>1</v>
      </c>
      <c r="K823" s="94">
        <v>142.4</v>
      </c>
      <c r="L823" s="95">
        <f t="shared" si="520"/>
        <v>142.4</v>
      </c>
      <c r="M823" s="96">
        <f t="shared" si="521"/>
        <v>75</v>
      </c>
      <c r="N823" s="97">
        <v>0.89</v>
      </c>
      <c r="O823" s="97">
        <f t="shared" si="522"/>
        <v>0.89</v>
      </c>
      <c r="P823" s="95">
        <f t="shared" si="523"/>
        <v>66.75</v>
      </c>
      <c r="Q823" s="98">
        <f t="shared" si="524"/>
        <v>209.15</v>
      </c>
      <c r="R823" s="119"/>
    </row>
    <row r="824" spans="1:18" ht="27.6" x14ac:dyDescent="0.3">
      <c r="A824" s="86" t="str">
        <f>IF(TRIM(H824)&lt;&gt;"",COUNTA(H$9:$H824)&amp;"","")</f>
        <v>596</v>
      </c>
      <c r="B824" s="87" t="s">
        <v>846</v>
      </c>
      <c r="C824" s="87" t="s">
        <v>886</v>
      </c>
      <c r="D824" s="88"/>
      <c r="E824" s="89" t="s">
        <v>892</v>
      </c>
      <c r="F824" s="90">
        <v>2</v>
      </c>
      <c r="H824" s="91" t="s">
        <v>239</v>
      </c>
      <c r="I824" s="92">
        <f t="shared" si="518"/>
        <v>0</v>
      </c>
      <c r="J824" s="93">
        <f t="shared" si="519"/>
        <v>2</v>
      </c>
      <c r="K824" s="94">
        <v>144</v>
      </c>
      <c r="L824" s="95">
        <f t="shared" si="520"/>
        <v>288</v>
      </c>
      <c r="M824" s="96">
        <f t="shared" si="521"/>
        <v>75</v>
      </c>
      <c r="N824" s="97">
        <v>0.9</v>
      </c>
      <c r="O824" s="97">
        <f t="shared" si="522"/>
        <v>1.8</v>
      </c>
      <c r="P824" s="95">
        <f t="shared" si="523"/>
        <v>135</v>
      </c>
      <c r="Q824" s="98">
        <f t="shared" si="524"/>
        <v>423</v>
      </c>
      <c r="R824" s="119"/>
    </row>
    <row r="825" spans="1:18" ht="27.6" x14ac:dyDescent="0.3">
      <c r="A825" s="86" t="str">
        <f>IF(TRIM(H825)&lt;&gt;"",COUNTA(H$9:$H825)&amp;"","")</f>
        <v>597</v>
      </c>
      <c r="B825" s="87" t="s">
        <v>846</v>
      </c>
      <c r="C825" s="87" t="s">
        <v>886</v>
      </c>
      <c r="D825" s="88"/>
      <c r="E825" s="89" t="s">
        <v>893</v>
      </c>
      <c r="F825" s="90">
        <v>8</v>
      </c>
      <c r="H825" s="91" t="s">
        <v>239</v>
      </c>
      <c r="I825" s="92">
        <f t="shared" si="518"/>
        <v>0</v>
      </c>
      <c r="J825" s="93">
        <f t="shared" si="519"/>
        <v>8</v>
      </c>
      <c r="K825" s="94">
        <v>144</v>
      </c>
      <c r="L825" s="95">
        <f t="shared" si="520"/>
        <v>1152</v>
      </c>
      <c r="M825" s="96">
        <f t="shared" si="521"/>
        <v>75</v>
      </c>
      <c r="N825" s="97">
        <v>0.9</v>
      </c>
      <c r="O825" s="97">
        <f t="shared" si="522"/>
        <v>7.2</v>
      </c>
      <c r="P825" s="95">
        <f t="shared" si="523"/>
        <v>540</v>
      </c>
      <c r="Q825" s="98">
        <f t="shared" si="524"/>
        <v>1692</v>
      </c>
      <c r="R825" s="119"/>
    </row>
    <row r="826" spans="1:18" x14ac:dyDescent="0.3">
      <c r="A826" s="86" t="str">
        <f>IF(TRIM(H826)&lt;&gt;"",COUNTA(H$9:$H826)&amp;"","")</f>
        <v>598</v>
      </c>
      <c r="B826" s="87" t="s">
        <v>846</v>
      </c>
      <c r="C826" s="87" t="s">
        <v>886</v>
      </c>
      <c r="D826" s="88"/>
      <c r="E826" s="89" t="s">
        <v>894</v>
      </c>
      <c r="F826" s="90">
        <v>5</v>
      </c>
      <c r="H826" s="91" t="s">
        <v>239</v>
      </c>
      <c r="I826" s="92">
        <f t="shared" si="518"/>
        <v>0</v>
      </c>
      <c r="J826" s="93">
        <f t="shared" si="519"/>
        <v>5</v>
      </c>
      <c r="K826" s="94">
        <v>169.6</v>
      </c>
      <c r="L826" s="95">
        <f t="shared" si="520"/>
        <v>848</v>
      </c>
      <c r="M826" s="96">
        <f t="shared" si="521"/>
        <v>75</v>
      </c>
      <c r="N826" s="97">
        <v>1.06</v>
      </c>
      <c r="O826" s="97">
        <f t="shared" si="522"/>
        <v>5.3000000000000007</v>
      </c>
      <c r="P826" s="95">
        <f t="shared" si="523"/>
        <v>397.50000000000006</v>
      </c>
      <c r="Q826" s="98">
        <f t="shared" si="524"/>
        <v>1245.5</v>
      </c>
      <c r="R826" s="119"/>
    </row>
    <row r="827" spans="1:18" x14ac:dyDescent="0.3">
      <c r="A827" s="86" t="str">
        <f>IF(TRIM(H827)&lt;&gt;"",COUNTA(H$9:$H827)&amp;"","")</f>
        <v>599</v>
      </c>
      <c r="B827" s="87" t="s">
        <v>846</v>
      </c>
      <c r="C827" s="87" t="s">
        <v>886</v>
      </c>
      <c r="D827" s="88"/>
      <c r="E827" s="89" t="s">
        <v>895</v>
      </c>
      <c r="F827" s="90">
        <v>1</v>
      </c>
      <c r="H827" s="91" t="s">
        <v>239</v>
      </c>
      <c r="I827" s="92">
        <f t="shared" si="518"/>
        <v>0</v>
      </c>
      <c r="J827" s="93">
        <f t="shared" si="519"/>
        <v>1</v>
      </c>
      <c r="K827" s="94">
        <v>174.4</v>
      </c>
      <c r="L827" s="95">
        <f t="shared" si="520"/>
        <v>174.4</v>
      </c>
      <c r="M827" s="96">
        <f t="shared" si="521"/>
        <v>75</v>
      </c>
      <c r="N827" s="97">
        <v>1.0900000000000001</v>
      </c>
      <c r="O827" s="97">
        <f t="shared" si="522"/>
        <v>1.0900000000000001</v>
      </c>
      <c r="P827" s="95">
        <f t="shared" si="523"/>
        <v>81.75</v>
      </c>
      <c r="Q827" s="98">
        <f t="shared" si="524"/>
        <v>256.14999999999998</v>
      </c>
      <c r="R827" s="119"/>
    </row>
    <row r="828" spans="1:18" x14ac:dyDescent="0.3">
      <c r="A828" s="86" t="str">
        <f>IF(TRIM(H828)&lt;&gt;"",COUNTA(H$9:$H828)&amp;"","")</f>
        <v>600</v>
      </c>
      <c r="B828" s="87" t="s">
        <v>846</v>
      </c>
      <c r="C828" s="87" t="s">
        <v>886</v>
      </c>
      <c r="D828" s="88"/>
      <c r="E828" s="89" t="s">
        <v>896</v>
      </c>
      <c r="F828" s="90">
        <v>3</v>
      </c>
      <c r="H828" s="91" t="s">
        <v>239</v>
      </c>
      <c r="I828" s="92">
        <f t="shared" si="518"/>
        <v>0</v>
      </c>
      <c r="J828" s="93">
        <f t="shared" si="519"/>
        <v>3</v>
      </c>
      <c r="K828" s="94">
        <v>180.8</v>
      </c>
      <c r="L828" s="95">
        <f t="shared" si="520"/>
        <v>542.40000000000009</v>
      </c>
      <c r="M828" s="96">
        <f t="shared" si="521"/>
        <v>75</v>
      </c>
      <c r="N828" s="97">
        <v>1.1300000000000001</v>
      </c>
      <c r="O828" s="97">
        <f t="shared" si="522"/>
        <v>3.3900000000000006</v>
      </c>
      <c r="P828" s="95">
        <f t="shared" si="523"/>
        <v>254.25000000000006</v>
      </c>
      <c r="Q828" s="98">
        <f t="shared" si="524"/>
        <v>796.65000000000009</v>
      </c>
      <c r="R828" s="119"/>
    </row>
    <row r="829" spans="1:18" x14ac:dyDescent="0.3">
      <c r="A829" s="86" t="str">
        <f>IF(TRIM(H829)&lt;&gt;"",COUNTA(H$9:$H829)&amp;"","")</f>
        <v>601</v>
      </c>
      <c r="B829" s="87" t="s">
        <v>846</v>
      </c>
      <c r="C829" s="87" t="s">
        <v>886</v>
      </c>
      <c r="D829" s="88"/>
      <c r="E829" s="89" t="s">
        <v>897</v>
      </c>
      <c r="F829" s="90">
        <v>4</v>
      </c>
      <c r="H829" s="91" t="s">
        <v>239</v>
      </c>
      <c r="I829" s="92">
        <f t="shared" si="518"/>
        <v>0</v>
      </c>
      <c r="J829" s="93">
        <f t="shared" si="519"/>
        <v>4</v>
      </c>
      <c r="K829" s="94">
        <v>167.2</v>
      </c>
      <c r="L829" s="95">
        <f t="shared" si="520"/>
        <v>668.8</v>
      </c>
      <c r="M829" s="96">
        <f t="shared" si="521"/>
        <v>75</v>
      </c>
      <c r="N829" s="97">
        <v>1.0450000000000002</v>
      </c>
      <c r="O829" s="97">
        <f t="shared" si="522"/>
        <v>4.1800000000000006</v>
      </c>
      <c r="P829" s="95">
        <f t="shared" si="523"/>
        <v>313.50000000000006</v>
      </c>
      <c r="Q829" s="98">
        <f t="shared" si="524"/>
        <v>982.3</v>
      </c>
      <c r="R829" s="119"/>
    </row>
    <row r="830" spans="1:18" ht="27.6" x14ac:dyDescent="0.3">
      <c r="A830" s="86" t="str">
        <f>IF(TRIM(H830)&lt;&gt;"",COUNTA(H$9:$H830)&amp;"","")</f>
        <v>602</v>
      </c>
      <c r="B830" s="87" t="s">
        <v>846</v>
      </c>
      <c r="C830" s="87" t="s">
        <v>886</v>
      </c>
      <c r="D830" s="88"/>
      <c r="E830" s="89" t="s">
        <v>898</v>
      </c>
      <c r="F830" s="90">
        <v>11</v>
      </c>
      <c r="H830" s="91" t="s">
        <v>239</v>
      </c>
      <c r="I830" s="92">
        <f t="shared" si="518"/>
        <v>0</v>
      </c>
      <c r="J830" s="93">
        <f t="shared" si="519"/>
        <v>11</v>
      </c>
      <c r="K830" s="94">
        <v>188</v>
      </c>
      <c r="L830" s="95">
        <f t="shared" si="520"/>
        <v>2068</v>
      </c>
      <c r="M830" s="96">
        <f t="shared" si="521"/>
        <v>75</v>
      </c>
      <c r="N830" s="97">
        <v>1.175</v>
      </c>
      <c r="O830" s="97">
        <f t="shared" si="522"/>
        <v>12.925000000000001</v>
      </c>
      <c r="P830" s="95">
        <f t="shared" si="523"/>
        <v>969.375</v>
      </c>
      <c r="Q830" s="98">
        <f t="shared" si="524"/>
        <v>3037.375</v>
      </c>
      <c r="R830" s="119"/>
    </row>
    <row r="831" spans="1:18" x14ac:dyDescent="0.3">
      <c r="A831" s="86" t="str">
        <f>IF(TRIM(H831)&lt;&gt;"",COUNTA(H$9:$H831)&amp;"","")</f>
        <v>603</v>
      </c>
      <c r="B831" s="87" t="s">
        <v>846</v>
      </c>
      <c r="C831" s="87" t="s">
        <v>886</v>
      </c>
      <c r="D831" s="88"/>
      <c r="E831" s="89" t="s">
        <v>899</v>
      </c>
      <c r="F831" s="90">
        <v>2</v>
      </c>
      <c r="H831" s="91" t="s">
        <v>239</v>
      </c>
      <c r="I831" s="92">
        <f t="shared" si="518"/>
        <v>0</v>
      </c>
      <c r="J831" s="93">
        <f t="shared" si="519"/>
        <v>2</v>
      </c>
      <c r="K831" s="94">
        <v>163.19999999999999</v>
      </c>
      <c r="L831" s="95">
        <f t="shared" si="520"/>
        <v>326.39999999999998</v>
      </c>
      <c r="M831" s="96">
        <f t="shared" si="521"/>
        <v>75</v>
      </c>
      <c r="N831" s="97">
        <v>1.02</v>
      </c>
      <c r="O831" s="97">
        <f t="shared" si="522"/>
        <v>2.04</v>
      </c>
      <c r="P831" s="95">
        <f t="shared" si="523"/>
        <v>153</v>
      </c>
      <c r="Q831" s="98">
        <f t="shared" si="524"/>
        <v>479.4</v>
      </c>
      <c r="R831" s="119"/>
    </row>
    <row r="832" spans="1:18" x14ac:dyDescent="0.3">
      <c r="A832" s="86" t="str">
        <f>IF(TRIM(H832)&lt;&gt;"",COUNTA(H$9:$H832)&amp;"","")</f>
        <v>604</v>
      </c>
      <c r="B832" s="87" t="s">
        <v>846</v>
      </c>
      <c r="C832" s="87" t="s">
        <v>886</v>
      </c>
      <c r="D832" s="88"/>
      <c r="E832" s="89" t="s">
        <v>900</v>
      </c>
      <c r="F832" s="90">
        <v>5</v>
      </c>
      <c r="H832" s="91" t="s">
        <v>239</v>
      </c>
      <c r="I832" s="92">
        <f t="shared" si="518"/>
        <v>0</v>
      </c>
      <c r="J832" s="93">
        <f t="shared" si="519"/>
        <v>5</v>
      </c>
      <c r="K832" s="94">
        <v>164.8</v>
      </c>
      <c r="L832" s="95">
        <f t="shared" si="520"/>
        <v>824</v>
      </c>
      <c r="M832" s="96">
        <f t="shared" si="521"/>
        <v>75</v>
      </c>
      <c r="N832" s="97">
        <v>1.03</v>
      </c>
      <c r="O832" s="97">
        <f t="shared" si="522"/>
        <v>5.15</v>
      </c>
      <c r="P832" s="95">
        <f t="shared" si="523"/>
        <v>386.25</v>
      </c>
      <c r="Q832" s="98">
        <f t="shared" si="524"/>
        <v>1210.25</v>
      </c>
      <c r="R832" s="119"/>
    </row>
    <row r="833" spans="1:18" x14ac:dyDescent="0.3">
      <c r="A833" s="86" t="str">
        <f>IF(TRIM(H833)&lt;&gt;"",COUNTA(H$9:$H833)&amp;"","")</f>
        <v/>
      </c>
      <c r="B833" s="87"/>
      <c r="C833" s="87"/>
      <c r="D833" s="88"/>
      <c r="E833" s="100"/>
      <c r="F833" s="90"/>
      <c r="H833" s="91"/>
      <c r="I833" s="92" t="str">
        <f t="shared" si="518"/>
        <v/>
      </c>
      <c r="J833" s="93" t="str">
        <f t="shared" si="519"/>
        <v/>
      </c>
      <c r="K833" s="94" t="s">
        <v>549</v>
      </c>
      <c r="L833" s="95" t="str">
        <f t="shared" si="520"/>
        <v/>
      </c>
      <c r="M833" s="96" t="str">
        <f t="shared" si="521"/>
        <v/>
      </c>
      <c r="N833" s="97" t="s">
        <v>549</v>
      </c>
      <c r="O833" s="97" t="str">
        <f t="shared" si="522"/>
        <v/>
      </c>
      <c r="P833" s="95" t="str">
        <f t="shared" si="523"/>
        <v/>
      </c>
      <c r="Q833" s="98" t="str">
        <f t="shared" si="524"/>
        <v/>
      </c>
      <c r="R833" s="119"/>
    </row>
    <row r="834" spans="1:18" ht="15.6" x14ac:dyDescent="0.3">
      <c r="A834" s="86" t="str">
        <f>IF(TRIM(H834)&lt;&gt;"",COUNTA(H$9:$H834)&amp;"","")</f>
        <v/>
      </c>
      <c r="B834" s="87"/>
      <c r="C834" s="87"/>
      <c r="D834" s="88"/>
      <c r="E834" s="164" t="s">
        <v>901</v>
      </c>
      <c r="F834" s="90"/>
      <c r="H834" s="91"/>
      <c r="I834" s="92" t="str">
        <f t="shared" si="518"/>
        <v/>
      </c>
      <c r="J834" s="93" t="str">
        <f t="shared" si="519"/>
        <v/>
      </c>
      <c r="K834" s="94" t="s">
        <v>549</v>
      </c>
      <c r="L834" s="95" t="str">
        <f t="shared" si="520"/>
        <v/>
      </c>
      <c r="M834" s="96" t="str">
        <f t="shared" si="521"/>
        <v/>
      </c>
      <c r="N834" s="97" t="s">
        <v>549</v>
      </c>
      <c r="O834" s="97" t="str">
        <f t="shared" si="522"/>
        <v/>
      </c>
      <c r="P834" s="95" t="str">
        <f t="shared" si="523"/>
        <v/>
      </c>
      <c r="Q834" s="98" t="str">
        <f t="shared" si="524"/>
        <v/>
      </c>
      <c r="R834" s="119"/>
    </row>
    <row r="835" spans="1:18" x14ac:dyDescent="0.3">
      <c r="A835" s="86" t="str">
        <f>IF(TRIM(H835)&lt;&gt;"",COUNTA(H$9:$H835)&amp;"","")</f>
        <v>605</v>
      </c>
      <c r="B835" s="87" t="s">
        <v>846</v>
      </c>
      <c r="C835" s="87" t="s">
        <v>846</v>
      </c>
      <c r="D835" s="88"/>
      <c r="E835" s="89" t="s">
        <v>902</v>
      </c>
      <c r="F835" s="90">
        <v>7</v>
      </c>
      <c r="H835" s="91" t="s">
        <v>239</v>
      </c>
      <c r="I835" s="92">
        <f t="shared" si="518"/>
        <v>0</v>
      </c>
      <c r="J835" s="93">
        <f t="shared" si="519"/>
        <v>7</v>
      </c>
      <c r="K835" s="94">
        <v>76</v>
      </c>
      <c r="L835" s="95">
        <f t="shared" si="520"/>
        <v>532</v>
      </c>
      <c r="M835" s="96">
        <f t="shared" si="521"/>
        <v>75</v>
      </c>
      <c r="N835" s="97">
        <v>0.47499999999999998</v>
      </c>
      <c r="O835" s="97">
        <f t="shared" si="522"/>
        <v>3.3249999999999997</v>
      </c>
      <c r="P835" s="95">
        <f t="shared" si="523"/>
        <v>249.37499999999997</v>
      </c>
      <c r="Q835" s="98">
        <f t="shared" si="524"/>
        <v>781.375</v>
      </c>
      <c r="R835" s="119"/>
    </row>
    <row r="836" spans="1:18" x14ac:dyDescent="0.3">
      <c r="A836" s="86" t="str">
        <f>IF(TRIM(H836)&lt;&gt;"",COUNTA(H$9:$H836)&amp;"","")</f>
        <v/>
      </c>
      <c r="B836" s="87"/>
      <c r="C836" s="87"/>
      <c r="D836" s="88"/>
      <c r="E836" s="89"/>
      <c r="F836" s="90"/>
      <c r="H836" s="91"/>
      <c r="I836" s="92"/>
      <c r="J836" s="93"/>
      <c r="K836" s="94" t="s">
        <v>549</v>
      </c>
      <c r="L836" s="95"/>
      <c r="M836" s="96"/>
      <c r="N836" s="97" t="s">
        <v>549</v>
      </c>
      <c r="O836" s="97"/>
      <c r="P836" s="95"/>
      <c r="Q836" s="98"/>
      <c r="R836" s="119"/>
    </row>
    <row r="837" spans="1:18" ht="15.6" x14ac:dyDescent="0.3">
      <c r="A837" s="86" t="str">
        <f>IF(TRIM(H837)&lt;&gt;"",COUNTA(H$9:$H837)&amp;"","")</f>
        <v/>
      </c>
      <c r="B837" s="87"/>
      <c r="C837" s="87"/>
      <c r="D837" s="88"/>
      <c r="E837" s="164" t="s">
        <v>197</v>
      </c>
      <c r="F837" s="90"/>
      <c r="H837" s="91"/>
      <c r="I837" s="92" t="str">
        <f t="shared" ref="I837:I870" si="525">IF(F837=0,"",0)</f>
        <v/>
      </c>
      <c r="J837" s="93" t="str">
        <f t="shared" ref="J837:J894" si="526">IF(F837=0,"",F837+(F837*I837))</f>
        <v/>
      </c>
      <c r="K837" s="94" t="s">
        <v>549</v>
      </c>
      <c r="L837" s="95" t="str">
        <f t="shared" ref="L837:L894" si="527">IF(F837=0,"",K837*J837)</f>
        <v/>
      </c>
      <c r="M837" s="96" t="str">
        <f t="shared" ref="M837:M894" si="528">IF(F837=0,"",M$7)</f>
        <v/>
      </c>
      <c r="N837" s="97" t="s">
        <v>549</v>
      </c>
      <c r="O837" s="97" t="str">
        <f t="shared" ref="O837:O894" si="529">IF(F837=0,"",N837*J837)</f>
        <v/>
      </c>
      <c r="P837" s="95" t="str">
        <f t="shared" ref="P837:P894" si="530">IF(F837=0,"",O837*M837)</f>
        <v/>
      </c>
      <c r="Q837" s="98" t="str">
        <f t="shared" ref="Q837:Q894" si="531">IF(F837=0,"",L837+P837)</f>
        <v/>
      </c>
      <c r="R837" s="119"/>
    </row>
    <row r="838" spans="1:18" x14ac:dyDescent="0.3">
      <c r="A838" s="86" t="str">
        <f>IF(TRIM(H838)&lt;&gt;"",COUNTA(H$9:$H838)&amp;"","")</f>
        <v>606</v>
      </c>
      <c r="B838" s="87" t="s">
        <v>846</v>
      </c>
      <c r="C838" s="87" t="s">
        <v>846</v>
      </c>
      <c r="D838" s="88"/>
      <c r="E838" s="89" t="s">
        <v>903</v>
      </c>
      <c r="F838" s="90">
        <v>1</v>
      </c>
      <c r="H838" s="91" t="s">
        <v>239</v>
      </c>
      <c r="I838" s="92">
        <f t="shared" si="525"/>
        <v>0</v>
      </c>
      <c r="J838" s="93">
        <f t="shared" si="526"/>
        <v>1</v>
      </c>
      <c r="K838" s="94">
        <v>53</v>
      </c>
      <c r="L838" s="95">
        <f t="shared" si="527"/>
        <v>53</v>
      </c>
      <c r="M838" s="96">
        <f t="shared" si="528"/>
        <v>75</v>
      </c>
      <c r="N838" s="97">
        <v>0.33124999999999999</v>
      </c>
      <c r="O838" s="97">
        <f t="shared" si="529"/>
        <v>0.33124999999999999</v>
      </c>
      <c r="P838" s="95">
        <f t="shared" si="530"/>
        <v>24.84375</v>
      </c>
      <c r="Q838" s="98">
        <f t="shared" si="531"/>
        <v>77.84375</v>
      </c>
      <c r="R838" s="119"/>
    </row>
    <row r="839" spans="1:18" x14ac:dyDescent="0.3">
      <c r="A839" s="86" t="str">
        <f>IF(TRIM(H839)&lt;&gt;"",COUNTA(H$9:$H839)&amp;"","")</f>
        <v>607</v>
      </c>
      <c r="B839" s="87" t="s">
        <v>846</v>
      </c>
      <c r="C839" s="87" t="s">
        <v>846</v>
      </c>
      <c r="D839" s="88"/>
      <c r="E839" s="89" t="s">
        <v>904</v>
      </c>
      <c r="F839" s="90">
        <v>3</v>
      </c>
      <c r="H839" s="91" t="s">
        <v>239</v>
      </c>
      <c r="I839" s="92">
        <f t="shared" si="525"/>
        <v>0</v>
      </c>
      <c r="J839" s="93">
        <f t="shared" si="526"/>
        <v>3</v>
      </c>
      <c r="K839" s="94">
        <v>120</v>
      </c>
      <c r="L839" s="95">
        <f t="shared" si="527"/>
        <v>360</v>
      </c>
      <c r="M839" s="96">
        <f t="shared" si="528"/>
        <v>75</v>
      </c>
      <c r="N839" s="97">
        <v>0.75</v>
      </c>
      <c r="O839" s="97">
        <f t="shared" si="529"/>
        <v>2.25</v>
      </c>
      <c r="P839" s="95">
        <f t="shared" si="530"/>
        <v>168.75</v>
      </c>
      <c r="Q839" s="98">
        <f t="shared" si="531"/>
        <v>528.75</v>
      </c>
      <c r="R839" s="119"/>
    </row>
    <row r="840" spans="1:18" x14ac:dyDescent="0.3">
      <c r="A840" s="86" t="str">
        <f>IF(TRIM(H840)&lt;&gt;"",COUNTA(H$9:$H840)&amp;"","")</f>
        <v>608</v>
      </c>
      <c r="B840" s="87" t="s">
        <v>846</v>
      </c>
      <c r="C840" s="87" t="s">
        <v>846</v>
      </c>
      <c r="D840" s="88"/>
      <c r="E840" s="89" t="s">
        <v>905</v>
      </c>
      <c r="F840" s="90">
        <v>1</v>
      </c>
      <c r="H840" s="91" t="s">
        <v>239</v>
      </c>
      <c r="I840" s="92">
        <f t="shared" si="525"/>
        <v>0</v>
      </c>
      <c r="J840" s="93">
        <f t="shared" si="526"/>
        <v>1</v>
      </c>
      <c r="K840" s="94">
        <v>121.6</v>
      </c>
      <c r="L840" s="95">
        <f t="shared" si="527"/>
        <v>121.6</v>
      </c>
      <c r="M840" s="96">
        <f t="shared" si="528"/>
        <v>75</v>
      </c>
      <c r="N840" s="97">
        <v>0.76</v>
      </c>
      <c r="O840" s="97">
        <f t="shared" si="529"/>
        <v>0.76</v>
      </c>
      <c r="P840" s="95">
        <f t="shared" si="530"/>
        <v>57</v>
      </c>
      <c r="Q840" s="98">
        <f t="shared" si="531"/>
        <v>178.6</v>
      </c>
      <c r="R840" s="119"/>
    </row>
    <row r="841" spans="1:18" x14ac:dyDescent="0.3">
      <c r="A841" s="86" t="str">
        <f>IF(TRIM(H841)&lt;&gt;"",COUNTA(H$9:$H841)&amp;"","")</f>
        <v>609</v>
      </c>
      <c r="B841" s="87" t="s">
        <v>846</v>
      </c>
      <c r="C841" s="87" t="s">
        <v>846</v>
      </c>
      <c r="D841" s="88"/>
      <c r="E841" s="89" t="s">
        <v>906</v>
      </c>
      <c r="F841" s="90">
        <v>19</v>
      </c>
      <c r="H841" s="91" t="s">
        <v>239</v>
      </c>
      <c r="I841" s="92">
        <f t="shared" si="525"/>
        <v>0</v>
      </c>
      <c r="J841" s="93">
        <f t="shared" si="526"/>
        <v>19</v>
      </c>
      <c r="K841" s="94">
        <v>124</v>
      </c>
      <c r="L841" s="95">
        <f t="shared" si="527"/>
        <v>2356</v>
      </c>
      <c r="M841" s="96">
        <f t="shared" si="528"/>
        <v>75</v>
      </c>
      <c r="N841" s="97">
        <v>0.77500000000000002</v>
      </c>
      <c r="O841" s="97">
        <f t="shared" si="529"/>
        <v>14.725</v>
      </c>
      <c r="P841" s="95">
        <f t="shared" si="530"/>
        <v>1104.375</v>
      </c>
      <c r="Q841" s="98">
        <f t="shared" si="531"/>
        <v>3460.375</v>
      </c>
      <c r="R841" s="119"/>
    </row>
    <row r="842" spans="1:18" x14ac:dyDescent="0.3">
      <c r="A842" s="86" t="str">
        <f>IF(TRIM(H842)&lt;&gt;"",COUNTA(H$9:$H842)&amp;"","")</f>
        <v>610</v>
      </c>
      <c r="B842" s="87" t="s">
        <v>846</v>
      </c>
      <c r="C842" s="87" t="s">
        <v>846</v>
      </c>
      <c r="D842" s="88"/>
      <c r="E842" s="89" t="s">
        <v>907</v>
      </c>
      <c r="F842" s="90">
        <v>1</v>
      </c>
      <c r="H842" s="91" t="s">
        <v>239</v>
      </c>
      <c r="I842" s="92">
        <f t="shared" si="525"/>
        <v>0</v>
      </c>
      <c r="J842" s="93">
        <f t="shared" si="526"/>
        <v>1</v>
      </c>
      <c r="K842" s="94">
        <v>960</v>
      </c>
      <c r="L842" s="95">
        <f t="shared" si="527"/>
        <v>960</v>
      </c>
      <c r="M842" s="96">
        <f t="shared" si="528"/>
        <v>75</v>
      </c>
      <c r="N842" s="97">
        <v>6</v>
      </c>
      <c r="O842" s="97">
        <f t="shared" si="529"/>
        <v>6</v>
      </c>
      <c r="P842" s="95">
        <f t="shared" si="530"/>
        <v>450</v>
      </c>
      <c r="Q842" s="98">
        <f t="shared" si="531"/>
        <v>1410</v>
      </c>
      <c r="R842" s="119"/>
    </row>
    <row r="843" spans="1:18" x14ac:dyDescent="0.3">
      <c r="A843" s="86" t="str">
        <f>IF(TRIM(H843)&lt;&gt;"",COUNTA(H$9:$H843)&amp;"","")</f>
        <v>611</v>
      </c>
      <c r="B843" s="87" t="s">
        <v>846</v>
      </c>
      <c r="C843" s="87" t="s">
        <v>846</v>
      </c>
      <c r="D843" s="88"/>
      <c r="E843" s="89" t="s">
        <v>908</v>
      </c>
      <c r="F843" s="90">
        <v>3</v>
      </c>
      <c r="H843" s="91" t="s">
        <v>239</v>
      </c>
      <c r="I843" s="92">
        <f t="shared" si="525"/>
        <v>0</v>
      </c>
      <c r="J843" s="93">
        <f t="shared" si="526"/>
        <v>3</v>
      </c>
      <c r="K843" s="94">
        <v>455</v>
      </c>
      <c r="L843" s="95">
        <f t="shared" si="527"/>
        <v>1365</v>
      </c>
      <c r="M843" s="96">
        <f t="shared" si="528"/>
        <v>75</v>
      </c>
      <c r="N843" s="97">
        <v>2.84375</v>
      </c>
      <c r="O843" s="97">
        <f t="shared" si="529"/>
        <v>8.53125</v>
      </c>
      <c r="P843" s="95">
        <f t="shared" si="530"/>
        <v>639.84375</v>
      </c>
      <c r="Q843" s="98">
        <f t="shared" si="531"/>
        <v>2004.84375</v>
      </c>
      <c r="R843" s="119"/>
    </row>
    <row r="844" spans="1:18" x14ac:dyDescent="0.3">
      <c r="A844" s="86" t="str">
        <f>IF(TRIM(H844)&lt;&gt;"",COUNTA(H$9:$H844)&amp;"","")</f>
        <v>612</v>
      </c>
      <c r="B844" s="87" t="s">
        <v>846</v>
      </c>
      <c r="C844" s="87" t="s">
        <v>846</v>
      </c>
      <c r="D844" s="88"/>
      <c r="E844" s="89" t="s">
        <v>909</v>
      </c>
      <c r="F844" s="90">
        <v>1</v>
      </c>
      <c r="H844" s="91" t="s">
        <v>239</v>
      </c>
      <c r="I844" s="92">
        <f t="shared" si="525"/>
        <v>0</v>
      </c>
      <c r="J844" s="93">
        <f t="shared" si="526"/>
        <v>1</v>
      </c>
      <c r="K844" s="94">
        <v>160</v>
      </c>
      <c r="L844" s="95">
        <f t="shared" si="527"/>
        <v>160</v>
      </c>
      <c r="M844" s="96">
        <f t="shared" si="528"/>
        <v>75</v>
      </c>
      <c r="N844" s="97">
        <v>1</v>
      </c>
      <c r="O844" s="97">
        <f t="shared" si="529"/>
        <v>1</v>
      </c>
      <c r="P844" s="95">
        <f t="shared" si="530"/>
        <v>75</v>
      </c>
      <c r="Q844" s="98">
        <f t="shared" si="531"/>
        <v>235</v>
      </c>
      <c r="R844" s="119"/>
    </row>
    <row r="845" spans="1:18" x14ac:dyDescent="0.3">
      <c r="A845" s="86" t="str">
        <f>IF(TRIM(H845)&lt;&gt;"",COUNTA(H$9:$H845)&amp;"","")</f>
        <v>613</v>
      </c>
      <c r="B845" s="87" t="s">
        <v>846</v>
      </c>
      <c r="C845" s="87" t="s">
        <v>846</v>
      </c>
      <c r="D845" s="88"/>
      <c r="E845" s="89" t="s">
        <v>910</v>
      </c>
      <c r="F845" s="90">
        <v>2</v>
      </c>
      <c r="H845" s="91" t="s">
        <v>239</v>
      </c>
      <c r="I845" s="92">
        <f t="shared" si="525"/>
        <v>0</v>
      </c>
      <c r="J845" s="93">
        <f t="shared" si="526"/>
        <v>2</v>
      </c>
      <c r="K845" s="94">
        <v>81.599999999999994</v>
      </c>
      <c r="L845" s="95">
        <f t="shared" si="527"/>
        <v>163.19999999999999</v>
      </c>
      <c r="M845" s="96">
        <f t="shared" si="528"/>
        <v>75</v>
      </c>
      <c r="N845" s="97">
        <v>0.51</v>
      </c>
      <c r="O845" s="97">
        <f t="shared" si="529"/>
        <v>1.02</v>
      </c>
      <c r="P845" s="95">
        <f t="shared" si="530"/>
        <v>76.5</v>
      </c>
      <c r="Q845" s="98">
        <f t="shared" si="531"/>
        <v>239.7</v>
      </c>
      <c r="R845" s="119"/>
    </row>
    <row r="846" spans="1:18" x14ac:dyDescent="0.3">
      <c r="A846" s="86" t="str">
        <f>IF(TRIM(H846)&lt;&gt;"",COUNTA(H$9:$H846)&amp;"","")</f>
        <v>614</v>
      </c>
      <c r="B846" s="87" t="s">
        <v>846</v>
      </c>
      <c r="C846" s="87" t="s">
        <v>846</v>
      </c>
      <c r="D846" s="88"/>
      <c r="E846" s="89" t="s">
        <v>911</v>
      </c>
      <c r="F846" s="90">
        <v>4</v>
      </c>
      <c r="H846" s="91" t="s">
        <v>239</v>
      </c>
      <c r="I846" s="92">
        <f t="shared" si="525"/>
        <v>0</v>
      </c>
      <c r="J846" s="93">
        <f t="shared" si="526"/>
        <v>4</v>
      </c>
      <c r="K846" s="94">
        <v>80</v>
      </c>
      <c r="L846" s="95">
        <f t="shared" si="527"/>
        <v>320</v>
      </c>
      <c r="M846" s="96">
        <f t="shared" si="528"/>
        <v>75</v>
      </c>
      <c r="N846" s="97">
        <v>0.5</v>
      </c>
      <c r="O846" s="97">
        <f t="shared" si="529"/>
        <v>2</v>
      </c>
      <c r="P846" s="95">
        <f t="shared" si="530"/>
        <v>150</v>
      </c>
      <c r="Q846" s="98">
        <f t="shared" si="531"/>
        <v>470</v>
      </c>
      <c r="R846" s="119"/>
    </row>
    <row r="847" spans="1:18" x14ac:dyDescent="0.3">
      <c r="A847" s="86" t="str">
        <f>IF(TRIM(H847)&lt;&gt;"",COUNTA(H$9:$H847)&amp;"","")</f>
        <v>615</v>
      </c>
      <c r="B847" s="87" t="s">
        <v>846</v>
      </c>
      <c r="C847" s="87" t="s">
        <v>846</v>
      </c>
      <c r="D847" s="88"/>
      <c r="E847" s="89" t="s">
        <v>912</v>
      </c>
      <c r="F847" s="90">
        <v>1</v>
      </c>
      <c r="H847" s="91" t="s">
        <v>239</v>
      </c>
      <c r="I847" s="92">
        <f t="shared" si="525"/>
        <v>0</v>
      </c>
      <c r="J847" s="93">
        <f t="shared" si="526"/>
        <v>1</v>
      </c>
      <c r="K847" s="94">
        <v>200</v>
      </c>
      <c r="L847" s="95">
        <f t="shared" si="527"/>
        <v>200</v>
      </c>
      <c r="M847" s="96">
        <f t="shared" si="528"/>
        <v>75</v>
      </c>
      <c r="N847" s="97">
        <v>1.25</v>
      </c>
      <c r="O847" s="97">
        <f t="shared" si="529"/>
        <v>1.25</v>
      </c>
      <c r="P847" s="95">
        <f t="shared" si="530"/>
        <v>93.75</v>
      </c>
      <c r="Q847" s="98">
        <f t="shared" si="531"/>
        <v>293.75</v>
      </c>
      <c r="R847" s="119"/>
    </row>
    <row r="848" spans="1:18" x14ac:dyDescent="0.3">
      <c r="A848" s="86" t="str">
        <f>IF(TRIM(H848)&lt;&gt;"",COUNTA(H$9:$H848)&amp;"","")</f>
        <v>616</v>
      </c>
      <c r="B848" s="87" t="s">
        <v>846</v>
      </c>
      <c r="C848" s="87" t="s">
        <v>846</v>
      </c>
      <c r="D848" s="88"/>
      <c r="E848" s="89" t="s">
        <v>913</v>
      </c>
      <c r="F848" s="90">
        <v>3</v>
      </c>
      <c r="H848" s="91" t="s">
        <v>239</v>
      </c>
      <c r="I848" s="92">
        <f t="shared" si="525"/>
        <v>0</v>
      </c>
      <c r="J848" s="93">
        <f t="shared" si="526"/>
        <v>3</v>
      </c>
      <c r="K848" s="94">
        <v>109</v>
      </c>
      <c r="L848" s="95">
        <f t="shared" si="527"/>
        <v>327</v>
      </c>
      <c r="M848" s="96">
        <f t="shared" si="528"/>
        <v>75</v>
      </c>
      <c r="N848" s="97">
        <v>0.68125000000000002</v>
      </c>
      <c r="O848" s="97">
        <f t="shared" si="529"/>
        <v>2.0437500000000002</v>
      </c>
      <c r="P848" s="95">
        <f t="shared" si="530"/>
        <v>153.28125</v>
      </c>
      <c r="Q848" s="98">
        <f t="shared" si="531"/>
        <v>480.28125</v>
      </c>
      <c r="R848" s="119"/>
    </row>
    <row r="849" spans="1:18" x14ac:dyDescent="0.3">
      <c r="A849" s="86" t="str">
        <f>IF(TRIM(H849)&lt;&gt;"",COUNTA(H$9:$H849)&amp;"","")</f>
        <v/>
      </c>
      <c r="B849" s="87"/>
      <c r="C849" s="87"/>
      <c r="D849" s="88"/>
      <c r="E849" s="100"/>
      <c r="F849" s="90"/>
      <c r="H849" s="91"/>
      <c r="I849" s="92" t="str">
        <f t="shared" si="525"/>
        <v/>
      </c>
      <c r="J849" s="93" t="str">
        <f t="shared" si="526"/>
        <v/>
      </c>
      <c r="K849" s="94" t="s">
        <v>549</v>
      </c>
      <c r="L849" s="95" t="str">
        <f t="shared" si="527"/>
        <v/>
      </c>
      <c r="M849" s="96" t="str">
        <f t="shared" si="528"/>
        <v/>
      </c>
      <c r="N849" s="97" t="s">
        <v>549</v>
      </c>
      <c r="O849" s="97" t="str">
        <f t="shared" si="529"/>
        <v/>
      </c>
      <c r="P849" s="95" t="str">
        <f t="shared" si="530"/>
        <v/>
      </c>
      <c r="Q849" s="98" t="str">
        <f t="shared" si="531"/>
        <v/>
      </c>
      <c r="R849" s="119"/>
    </row>
    <row r="850" spans="1:18" ht="15.6" x14ac:dyDescent="0.3">
      <c r="A850" s="86" t="str">
        <f>IF(TRIM(H850)&lt;&gt;"",COUNTA(H$9:$H850)&amp;"","")</f>
        <v/>
      </c>
      <c r="B850" s="87"/>
      <c r="C850" s="87"/>
      <c r="D850" s="88"/>
      <c r="E850" s="164" t="s">
        <v>914</v>
      </c>
      <c r="F850" s="90"/>
      <c r="H850" s="91"/>
      <c r="I850" s="92" t="str">
        <f t="shared" si="525"/>
        <v/>
      </c>
      <c r="J850" s="93" t="str">
        <f t="shared" si="526"/>
        <v/>
      </c>
      <c r="K850" s="94" t="s">
        <v>549</v>
      </c>
      <c r="L850" s="95" t="str">
        <f t="shared" si="527"/>
        <v/>
      </c>
      <c r="M850" s="96" t="str">
        <f t="shared" si="528"/>
        <v/>
      </c>
      <c r="N850" s="97" t="s">
        <v>549</v>
      </c>
      <c r="O850" s="97" t="str">
        <f t="shared" si="529"/>
        <v/>
      </c>
      <c r="P850" s="95" t="str">
        <f t="shared" si="530"/>
        <v/>
      </c>
      <c r="Q850" s="98" t="str">
        <f t="shared" si="531"/>
        <v/>
      </c>
      <c r="R850" s="119"/>
    </row>
    <row r="851" spans="1:18" x14ac:dyDescent="0.3">
      <c r="A851" s="86" t="str">
        <f>IF(TRIM(H851)&lt;&gt;"",COUNTA(H$9:$H851)&amp;"","")</f>
        <v/>
      </c>
      <c r="B851" s="87"/>
      <c r="C851" s="87"/>
      <c r="D851" s="88"/>
      <c r="E851" s="125" t="s">
        <v>188</v>
      </c>
      <c r="F851" s="90"/>
      <c r="H851" s="91"/>
      <c r="I851" s="92" t="str">
        <f t="shared" si="525"/>
        <v/>
      </c>
      <c r="J851" s="93" t="str">
        <f t="shared" si="526"/>
        <v/>
      </c>
      <c r="K851" s="94" t="s">
        <v>549</v>
      </c>
      <c r="L851" s="95" t="str">
        <f t="shared" si="527"/>
        <v/>
      </c>
      <c r="M851" s="96" t="str">
        <f t="shared" si="528"/>
        <v/>
      </c>
      <c r="N851" s="97" t="s">
        <v>549</v>
      </c>
      <c r="O851" s="97" t="str">
        <f t="shared" si="529"/>
        <v/>
      </c>
      <c r="P851" s="95" t="str">
        <f t="shared" si="530"/>
        <v/>
      </c>
      <c r="Q851" s="98" t="str">
        <f t="shared" si="531"/>
        <v/>
      </c>
      <c r="R851" s="119"/>
    </row>
    <row r="852" spans="1:18" x14ac:dyDescent="0.3">
      <c r="A852" s="86" t="str">
        <f>IF(TRIM(H852)&lt;&gt;"",COUNTA(H$9:$H852)&amp;"","")</f>
        <v>617</v>
      </c>
      <c r="B852" s="87" t="s">
        <v>817</v>
      </c>
      <c r="C852" s="87" t="s">
        <v>817</v>
      </c>
      <c r="D852" s="88"/>
      <c r="E852" s="89" t="s">
        <v>915</v>
      </c>
      <c r="F852" s="90">
        <v>105.64</v>
      </c>
      <c r="H852" s="91" t="s">
        <v>210</v>
      </c>
      <c r="I852" s="92">
        <v>0.1</v>
      </c>
      <c r="J852" s="93">
        <f t="shared" si="526"/>
        <v>116.20400000000001</v>
      </c>
      <c r="K852" s="94">
        <v>5.6159999999999997</v>
      </c>
      <c r="L852" s="95">
        <f t="shared" si="527"/>
        <v>652.60166400000003</v>
      </c>
      <c r="M852" s="96">
        <f t="shared" si="528"/>
        <v>75</v>
      </c>
      <c r="N852" s="97">
        <v>9.3599999999999989E-2</v>
      </c>
      <c r="O852" s="97">
        <f t="shared" si="529"/>
        <v>10.8766944</v>
      </c>
      <c r="P852" s="95">
        <f t="shared" si="530"/>
        <v>815.75207999999998</v>
      </c>
      <c r="Q852" s="98">
        <f t="shared" si="531"/>
        <v>1468.353744</v>
      </c>
      <c r="R852" s="119"/>
    </row>
    <row r="853" spans="1:18" x14ac:dyDescent="0.3">
      <c r="A853" s="86" t="str">
        <f>IF(TRIM(H853)&lt;&gt;"",COUNTA(H$9:$H853)&amp;"","")</f>
        <v>618</v>
      </c>
      <c r="B853" s="87" t="s">
        <v>817</v>
      </c>
      <c r="C853" s="87" t="s">
        <v>817</v>
      </c>
      <c r="D853" s="88"/>
      <c r="E853" s="89" t="s">
        <v>850</v>
      </c>
      <c r="F853" s="90">
        <v>162.06</v>
      </c>
      <c r="H853" s="91" t="s">
        <v>210</v>
      </c>
      <c r="I853" s="92">
        <v>0.1</v>
      </c>
      <c r="J853" s="93">
        <f t="shared" si="526"/>
        <v>178.26599999999999</v>
      </c>
      <c r="K853" s="94">
        <v>1.7999999999999998</v>
      </c>
      <c r="L853" s="95">
        <f t="shared" si="527"/>
        <v>320.87879999999996</v>
      </c>
      <c r="M853" s="96">
        <f t="shared" si="528"/>
        <v>75</v>
      </c>
      <c r="N853" s="97">
        <v>3.0000000000000006E-2</v>
      </c>
      <c r="O853" s="97">
        <f t="shared" si="529"/>
        <v>5.3479800000000006</v>
      </c>
      <c r="P853" s="95">
        <f t="shared" si="530"/>
        <v>401.09850000000006</v>
      </c>
      <c r="Q853" s="98">
        <f t="shared" si="531"/>
        <v>721.97730000000001</v>
      </c>
      <c r="R853" s="119"/>
    </row>
    <row r="854" spans="1:18" x14ac:dyDescent="0.3">
      <c r="A854" s="86" t="str">
        <f>IF(TRIM(H854)&lt;&gt;"",COUNTA(H$9:$H854)&amp;"","")</f>
        <v>619</v>
      </c>
      <c r="B854" s="87" t="s">
        <v>817</v>
      </c>
      <c r="C854" s="87" t="s">
        <v>817</v>
      </c>
      <c r="D854" s="88"/>
      <c r="E854" s="89" t="s">
        <v>916</v>
      </c>
      <c r="F854" s="90">
        <v>105.64</v>
      </c>
      <c r="H854" s="91" t="s">
        <v>210</v>
      </c>
      <c r="I854" s="92">
        <v>0.1</v>
      </c>
      <c r="J854" s="93">
        <f t="shared" si="526"/>
        <v>116.20400000000001</v>
      </c>
      <c r="K854" s="94">
        <v>0.66</v>
      </c>
      <c r="L854" s="95">
        <f t="shared" si="527"/>
        <v>76.694640000000007</v>
      </c>
      <c r="M854" s="96">
        <f t="shared" si="528"/>
        <v>75</v>
      </c>
      <c r="N854" s="97">
        <v>1.1000000000000001E-2</v>
      </c>
      <c r="O854" s="97">
        <f t="shared" si="529"/>
        <v>1.2782440000000002</v>
      </c>
      <c r="P854" s="95">
        <f t="shared" si="530"/>
        <v>95.868300000000005</v>
      </c>
      <c r="Q854" s="98">
        <f t="shared" si="531"/>
        <v>172.56294000000003</v>
      </c>
      <c r="R854" s="119"/>
    </row>
    <row r="855" spans="1:18" x14ac:dyDescent="0.3">
      <c r="A855" s="86" t="str">
        <f>IF(TRIM(H855)&lt;&gt;"",COUNTA(H$9:$H855)&amp;"","")</f>
        <v/>
      </c>
      <c r="B855" s="87"/>
      <c r="C855" s="87"/>
      <c r="D855" s="88"/>
      <c r="E855" s="100"/>
      <c r="F855" s="90"/>
      <c r="H855" s="91"/>
      <c r="I855" s="92" t="str">
        <f t="shared" si="525"/>
        <v/>
      </c>
      <c r="J855" s="93" t="str">
        <f t="shared" si="526"/>
        <v/>
      </c>
      <c r="K855" s="94" t="s">
        <v>549</v>
      </c>
      <c r="L855" s="95" t="str">
        <f t="shared" si="527"/>
        <v/>
      </c>
      <c r="M855" s="96" t="str">
        <f t="shared" si="528"/>
        <v/>
      </c>
      <c r="N855" s="97" t="s">
        <v>549</v>
      </c>
      <c r="O855" s="97" t="str">
        <f t="shared" si="529"/>
        <v/>
      </c>
      <c r="P855" s="95" t="str">
        <f t="shared" si="530"/>
        <v/>
      </c>
      <c r="Q855" s="98" t="str">
        <f t="shared" si="531"/>
        <v/>
      </c>
      <c r="R855" s="119"/>
    </row>
    <row r="856" spans="1:18" x14ac:dyDescent="0.3">
      <c r="A856" s="86" t="str">
        <f>IF(TRIM(H856)&lt;&gt;"",COUNTA(H$9:$H856)&amp;"","")</f>
        <v/>
      </c>
      <c r="B856" s="87"/>
      <c r="C856" s="87"/>
      <c r="D856" s="88"/>
      <c r="E856" s="125" t="s">
        <v>820</v>
      </c>
      <c r="F856" s="90"/>
      <c r="H856" s="91"/>
      <c r="I856" s="92" t="str">
        <f t="shared" si="525"/>
        <v/>
      </c>
      <c r="J856" s="93" t="str">
        <f t="shared" si="526"/>
        <v/>
      </c>
      <c r="K856" s="94" t="s">
        <v>549</v>
      </c>
      <c r="L856" s="95" t="str">
        <f t="shared" si="527"/>
        <v/>
      </c>
      <c r="M856" s="96" t="str">
        <f t="shared" si="528"/>
        <v/>
      </c>
      <c r="N856" s="97" t="s">
        <v>549</v>
      </c>
      <c r="O856" s="97" t="str">
        <f t="shared" si="529"/>
        <v/>
      </c>
      <c r="P856" s="95" t="str">
        <f t="shared" si="530"/>
        <v/>
      </c>
      <c r="Q856" s="98" t="str">
        <f t="shared" si="531"/>
        <v/>
      </c>
      <c r="R856" s="119"/>
    </row>
    <row r="857" spans="1:18" x14ac:dyDescent="0.3">
      <c r="A857" s="86" t="str">
        <f>IF(TRIM(H857)&lt;&gt;"",COUNTA(H$9:$H857)&amp;"","")</f>
        <v>620</v>
      </c>
      <c r="B857" s="87" t="s">
        <v>817</v>
      </c>
      <c r="C857" s="87" t="s">
        <v>817</v>
      </c>
      <c r="D857" s="88"/>
      <c r="E857" s="89" t="s">
        <v>917</v>
      </c>
      <c r="F857" s="90">
        <v>324.12</v>
      </c>
      <c r="H857" s="91" t="s">
        <v>210</v>
      </c>
      <c r="I857" s="92">
        <v>0.1</v>
      </c>
      <c r="J857" s="93">
        <f t="shared" si="526"/>
        <v>356.53199999999998</v>
      </c>
      <c r="K857" s="94">
        <v>0.22799999999999998</v>
      </c>
      <c r="L857" s="95">
        <f t="shared" si="527"/>
        <v>81.289295999999993</v>
      </c>
      <c r="M857" s="96">
        <f t="shared" si="528"/>
        <v>75</v>
      </c>
      <c r="N857" s="97">
        <v>3.8000000000000004E-3</v>
      </c>
      <c r="O857" s="97">
        <f t="shared" si="529"/>
        <v>1.3548216000000002</v>
      </c>
      <c r="P857" s="95">
        <f t="shared" si="530"/>
        <v>101.61162000000002</v>
      </c>
      <c r="Q857" s="98">
        <f t="shared" si="531"/>
        <v>182.900916</v>
      </c>
      <c r="R857" s="119"/>
    </row>
    <row r="858" spans="1:18" x14ac:dyDescent="0.3">
      <c r="A858" s="86" t="str">
        <f>IF(TRIM(H858)&lt;&gt;"",COUNTA(H$9:$H858)&amp;"","")</f>
        <v>621</v>
      </c>
      <c r="B858" s="87" t="s">
        <v>817</v>
      </c>
      <c r="C858" s="87" t="s">
        <v>817</v>
      </c>
      <c r="D858" s="88"/>
      <c r="E858" s="89" t="s">
        <v>918</v>
      </c>
      <c r="F858" s="90">
        <v>519.65</v>
      </c>
      <c r="H858" s="91" t="s">
        <v>210</v>
      </c>
      <c r="I858" s="92">
        <v>0.1</v>
      </c>
      <c r="J858" s="93">
        <f t="shared" si="526"/>
        <v>571.61500000000001</v>
      </c>
      <c r="K858" s="94">
        <v>1.56</v>
      </c>
      <c r="L858" s="95">
        <f t="shared" si="527"/>
        <v>891.71940000000006</v>
      </c>
      <c r="M858" s="96">
        <f t="shared" si="528"/>
        <v>75</v>
      </c>
      <c r="N858" s="97">
        <v>2.6000000000000002E-2</v>
      </c>
      <c r="O858" s="97">
        <f t="shared" si="529"/>
        <v>14.861990000000002</v>
      </c>
      <c r="P858" s="95">
        <f t="shared" si="530"/>
        <v>1114.6492500000002</v>
      </c>
      <c r="Q858" s="98">
        <f t="shared" si="531"/>
        <v>2006.3686500000003</v>
      </c>
      <c r="R858" s="119"/>
    </row>
    <row r="859" spans="1:18" x14ac:dyDescent="0.3">
      <c r="A859" s="86" t="str">
        <f>IF(TRIM(H859)&lt;&gt;"",COUNTA(H$9:$H859)&amp;"","")</f>
        <v>622</v>
      </c>
      <c r="B859" s="87" t="s">
        <v>817</v>
      </c>
      <c r="C859" s="87" t="s">
        <v>817</v>
      </c>
      <c r="D859" s="88"/>
      <c r="E859" s="89" t="s">
        <v>919</v>
      </c>
      <c r="F859" s="90">
        <v>210.83</v>
      </c>
      <c r="H859" s="91" t="s">
        <v>210</v>
      </c>
      <c r="I859" s="92">
        <v>0.1</v>
      </c>
      <c r="J859" s="93">
        <f t="shared" si="526"/>
        <v>231.91300000000001</v>
      </c>
      <c r="K859" s="94">
        <v>1.44</v>
      </c>
      <c r="L859" s="95">
        <f t="shared" si="527"/>
        <v>333.95472000000001</v>
      </c>
      <c r="M859" s="96">
        <f t="shared" si="528"/>
        <v>75</v>
      </c>
      <c r="N859" s="97">
        <v>2.4E-2</v>
      </c>
      <c r="O859" s="97">
        <f t="shared" si="529"/>
        <v>5.565912</v>
      </c>
      <c r="P859" s="95">
        <f t="shared" si="530"/>
        <v>417.4434</v>
      </c>
      <c r="Q859" s="98">
        <f t="shared" si="531"/>
        <v>751.39812000000006</v>
      </c>
      <c r="R859" s="119"/>
    </row>
    <row r="860" spans="1:18" x14ac:dyDescent="0.3">
      <c r="A860" s="86" t="str">
        <f>IF(TRIM(H860)&lt;&gt;"",COUNTA(H$9:$H860)&amp;"","")</f>
        <v/>
      </c>
      <c r="B860" s="87"/>
      <c r="C860" s="87"/>
      <c r="D860" s="88"/>
      <c r="E860" s="100"/>
      <c r="F860" s="90"/>
      <c r="H860" s="91"/>
      <c r="I860" s="92" t="str">
        <f t="shared" ref="I860" si="532">IF(F860=0,"",0)</f>
        <v/>
      </c>
      <c r="J860" s="93" t="str">
        <f t="shared" si="526"/>
        <v/>
      </c>
      <c r="K860" s="94" t="s">
        <v>549</v>
      </c>
      <c r="L860" s="95" t="str">
        <f t="shared" si="527"/>
        <v/>
      </c>
      <c r="M860" s="96" t="str">
        <f t="shared" si="528"/>
        <v/>
      </c>
      <c r="N860" s="97" t="s">
        <v>549</v>
      </c>
      <c r="O860" s="97" t="str">
        <f t="shared" si="529"/>
        <v/>
      </c>
      <c r="P860" s="95" t="str">
        <f t="shared" si="530"/>
        <v/>
      </c>
      <c r="Q860" s="98" t="str">
        <f t="shared" si="531"/>
        <v/>
      </c>
      <c r="R860" s="119"/>
    </row>
    <row r="861" spans="1:18" x14ac:dyDescent="0.3">
      <c r="A861" s="86" t="str">
        <f>IF(TRIM(H861)&lt;&gt;"",COUNTA(H$9:$H861)&amp;"","")</f>
        <v/>
      </c>
      <c r="B861" s="87"/>
      <c r="C861" s="87"/>
      <c r="D861" s="88"/>
      <c r="E861" s="125" t="s">
        <v>196</v>
      </c>
      <c r="F861" s="90"/>
      <c r="H861" s="91"/>
      <c r="I861" s="92" t="str">
        <f t="shared" si="525"/>
        <v/>
      </c>
      <c r="J861" s="93" t="str">
        <f t="shared" si="526"/>
        <v/>
      </c>
      <c r="K861" s="94" t="s">
        <v>549</v>
      </c>
      <c r="L861" s="95" t="str">
        <f t="shared" si="527"/>
        <v/>
      </c>
      <c r="M861" s="96" t="str">
        <f t="shared" si="528"/>
        <v/>
      </c>
      <c r="N861" s="97" t="s">
        <v>549</v>
      </c>
      <c r="O861" s="97" t="str">
        <f t="shared" si="529"/>
        <v/>
      </c>
      <c r="P861" s="95" t="str">
        <f t="shared" si="530"/>
        <v/>
      </c>
      <c r="Q861" s="98" t="str">
        <f t="shared" si="531"/>
        <v/>
      </c>
      <c r="R861" s="119"/>
    </row>
    <row r="862" spans="1:18" x14ac:dyDescent="0.3">
      <c r="A862" s="86" t="str">
        <f>IF(TRIM(H862)&lt;&gt;"",COUNTA(H$9:$H862)&amp;"","")</f>
        <v>623</v>
      </c>
      <c r="B862" s="87" t="s">
        <v>817</v>
      </c>
      <c r="C862" s="87" t="s">
        <v>817</v>
      </c>
      <c r="D862" s="88"/>
      <c r="E862" s="100" t="s">
        <v>920</v>
      </c>
      <c r="F862" s="90">
        <v>4</v>
      </c>
      <c r="H862" s="91" t="s">
        <v>239</v>
      </c>
      <c r="I862" s="92">
        <f t="shared" si="525"/>
        <v>0</v>
      </c>
      <c r="J862" s="93">
        <f t="shared" si="526"/>
        <v>4</v>
      </c>
      <c r="K862" s="94">
        <v>86.4</v>
      </c>
      <c r="L862" s="95">
        <f t="shared" si="527"/>
        <v>345.6</v>
      </c>
      <c r="M862" s="96">
        <f t="shared" si="528"/>
        <v>75</v>
      </c>
      <c r="N862" s="97">
        <v>0.54</v>
      </c>
      <c r="O862" s="97">
        <f t="shared" si="529"/>
        <v>2.16</v>
      </c>
      <c r="P862" s="95">
        <f t="shared" si="530"/>
        <v>162</v>
      </c>
      <c r="Q862" s="98">
        <f t="shared" si="531"/>
        <v>507.6</v>
      </c>
      <c r="R862" s="119"/>
    </row>
    <row r="863" spans="1:18" x14ac:dyDescent="0.3">
      <c r="A863" s="86" t="str">
        <f>IF(TRIM(H863)&lt;&gt;"",COUNTA(H$9:$H863)&amp;"","")</f>
        <v>624</v>
      </c>
      <c r="B863" s="87" t="s">
        <v>817</v>
      </c>
      <c r="C863" s="87" t="s">
        <v>817</v>
      </c>
      <c r="D863" s="88"/>
      <c r="E863" s="100" t="s">
        <v>921</v>
      </c>
      <c r="F863" s="90">
        <v>2</v>
      </c>
      <c r="H863" s="91" t="s">
        <v>239</v>
      </c>
      <c r="I863" s="92">
        <f t="shared" si="525"/>
        <v>0</v>
      </c>
      <c r="J863" s="93">
        <f t="shared" si="526"/>
        <v>2</v>
      </c>
      <c r="K863" s="94">
        <v>84</v>
      </c>
      <c r="L863" s="95">
        <f t="shared" si="527"/>
        <v>168</v>
      </c>
      <c r="M863" s="96">
        <f t="shared" si="528"/>
        <v>75</v>
      </c>
      <c r="N863" s="97">
        <v>0.52500000000000002</v>
      </c>
      <c r="O863" s="97">
        <f t="shared" si="529"/>
        <v>1.05</v>
      </c>
      <c r="P863" s="95">
        <f t="shared" si="530"/>
        <v>78.75</v>
      </c>
      <c r="Q863" s="98">
        <f t="shared" si="531"/>
        <v>246.75</v>
      </c>
      <c r="R863" s="119"/>
    </row>
    <row r="864" spans="1:18" x14ac:dyDescent="0.3">
      <c r="A864" s="86" t="str">
        <f>IF(TRIM(H864)&lt;&gt;"",COUNTA(H$9:$H864)&amp;"","")</f>
        <v>625</v>
      </c>
      <c r="B864" s="87" t="s">
        <v>817</v>
      </c>
      <c r="C864" s="87" t="s">
        <v>817</v>
      </c>
      <c r="D864" s="88"/>
      <c r="E864" s="100" t="s">
        <v>922</v>
      </c>
      <c r="F864" s="90">
        <v>1</v>
      </c>
      <c r="H864" s="91" t="s">
        <v>239</v>
      </c>
      <c r="I864" s="92">
        <f t="shared" si="525"/>
        <v>0</v>
      </c>
      <c r="J864" s="93">
        <f t="shared" si="526"/>
        <v>1</v>
      </c>
      <c r="K864" s="94">
        <v>0</v>
      </c>
      <c r="L864" s="95">
        <f t="shared" si="527"/>
        <v>0</v>
      </c>
      <c r="M864" s="96">
        <f t="shared" si="528"/>
        <v>75</v>
      </c>
      <c r="N864" s="97">
        <v>1.5</v>
      </c>
      <c r="O864" s="97">
        <f t="shared" si="529"/>
        <v>1.5</v>
      </c>
      <c r="P864" s="95">
        <f t="shared" si="530"/>
        <v>112.5</v>
      </c>
      <c r="Q864" s="98">
        <f t="shared" si="531"/>
        <v>112.5</v>
      </c>
      <c r="R864" s="119"/>
    </row>
    <row r="865" spans="1:18" x14ac:dyDescent="0.3">
      <c r="A865" s="86" t="str">
        <f>IF(TRIM(H865)&lt;&gt;"",COUNTA(H$9:$H865)&amp;"","")</f>
        <v>626</v>
      </c>
      <c r="B865" s="87" t="s">
        <v>817</v>
      </c>
      <c r="C865" s="87" t="s">
        <v>817</v>
      </c>
      <c r="D865" s="88"/>
      <c r="E865" s="100" t="s">
        <v>923</v>
      </c>
      <c r="F865" s="90">
        <v>5</v>
      </c>
      <c r="H865" s="91" t="s">
        <v>239</v>
      </c>
      <c r="I865" s="92">
        <f t="shared" si="525"/>
        <v>0</v>
      </c>
      <c r="J865" s="93">
        <f t="shared" si="526"/>
        <v>5</v>
      </c>
      <c r="K865" s="94">
        <v>280</v>
      </c>
      <c r="L865" s="95">
        <f t="shared" si="527"/>
        <v>1400</v>
      </c>
      <c r="M865" s="96">
        <f t="shared" si="528"/>
        <v>75</v>
      </c>
      <c r="N865" s="97">
        <v>1.75</v>
      </c>
      <c r="O865" s="97">
        <f t="shared" si="529"/>
        <v>8.75</v>
      </c>
      <c r="P865" s="95">
        <f t="shared" si="530"/>
        <v>656.25</v>
      </c>
      <c r="Q865" s="98">
        <f t="shared" si="531"/>
        <v>2056.25</v>
      </c>
      <c r="R865" s="119"/>
    </row>
    <row r="866" spans="1:18" x14ac:dyDescent="0.3">
      <c r="A866" s="86" t="str">
        <f>IF(TRIM(H866)&lt;&gt;"",COUNTA(H$9:$H866)&amp;"","")</f>
        <v>627</v>
      </c>
      <c r="B866" s="87" t="s">
        <v>817</v>
      </c>
      <c r="C866" s="87" t="s">
        <v>817</v>
      </c>
      <c r="D866" s="88"/>
      <c r="E866" s="100" t="s">
        <v>924</v>
      </c>
      <c r="F866" s="90">
        <v>3</v>
      </c>
      <c r="H866" s="91" t="s">
        <v>239</v>
      </c>
      <c r="I866" s="92">
        <f t="shared" si="525"/>
        <v>0</v>
      </c>
      <c r="J866" s="93">
        <f t="shared" si="526"/>
        <v>3</v>
      </c>
      <c r="K866" s="94">
        <v>84</v>
      </c>
      <c r="L866" s="95">
        <f t="shared" si="527"/>
        <v>252</v>
      </c>
      <c r="M866" s="96">
        <f t="shared" si="528"/>
        <v>75</v>
      </c>
      <c r="N866" s="97">
        <v>0.52500000000000002</v>
      </c>
      <c r="O866" s="97">
        <f t="shared" si="529"/>
        <v>1.5750000000000002</v>
      </c>
      <c r="P866" s="95">
        <f t="shared" si="530"/>
        <v>118.12500000000001</v>
      </c>
      <c r="Q866" s="98">
        <f t="shared" si="531"/>
        <v>370.125</v>
      </c>
      <c r="R866" s="119"/>
    </row>
    <row r="867" spans="1:18" x14ac:dyDescent="0.3">
      <c r="A867" s="86" t="str">
        <f>IF(TRIM(H867)&lt;&gt;"",COUNTA(H$9:$H867)&amp;"","")</f>
        <v>628</v>
      </c>
      <c r="B867" s="87" t="s">
        <v>817</v>
      </c>
      <c r="C867" s="87" t="s">
        <v>817</v>
      </c>
      <c r="D867" s="88"/>
      <c r="E867" s="100" t="s">
        <v>925</v>
      </c>
      <c r="F867" s="90">
        <v>15</v>
      </c>
      <c r="H867" s="91" t="s">
        <v>239</v>
      </c>
      <c r="I867" s="92">
        <f t="shared" si="525"/>
        <v>0</v>
      </c>
      <c r="J867" s="93">
        <f t="shared" si="526"/>
        <v>15</v>
      </c>
      <c r="K867" s="94">
        <v>100</v>
      </c>
      <c r="L867" s="95">
        <f t="shared" si="527"/>
        <v>1500</v>
      </c>
      <c r="M867" s="96">
        <f t="shared" si="528"/>
        <v>75</v>
      </c>
      <c r="N867" s="97">
        <v>0.625</v>
      </c>
      <c r="O867" s="97">
        <f t="shared" si="529"/>
        <v>9.375</v>
      </c>
      <c r="P867" s="95">
        <f t="shared" si="530"/>
        <v>703.125</v>
      </c>
      <c r="Q867" s="98">
        <f t="shared" si="531"/>
        <v>2203.125</v>
      </c>
      <c r="R867" s="119"/>
    </row>
    <row r="868" spans="1:18" x14ac:dyDescent="0.3">
      <c r="A868" s="86" t="str">
        <f>IF(TRIM(H868)&lt;&gt;"",COUNTA(H$9:$H868)&amp;"","")</f>
        <v/>
      </c>
      <c r="B868" s="87"/>
      <c r="C868" s="87"/>
      <c r="D868" s="88"/>
      <c r="E868" s="160"/>
      <c r="F868" s="90"/>
      <c r="H868" s="91"/>
      <c r="I868" s="92"/>
      <c r="J868" s="93"/>
      <c r="K868" s="94" t="s">
        <v>549</v>
      </c>
      <c r="L868" s="95"/>
      <c r="M868" s="96"/>
      <c r="N868" s="97" t="s">
        <v>549</v>
      </c>
      <c r="O868" s="97"/>
      <c r="P868" s="95"/>
      <c r="Q868" s="98"/>
      <c r="R868" s="119"/>
    </row>
    <row r="869" spans="1:18" ht="15.6" x14ac:dyDescent="0.3">
      <c r="A869" s="86" t="str">
        <f>IF(TRIM(H869)&lt;&gt;"",COUNTA(H$9:$H869)&amp;"","")</f>
        <v/>
      </c>
      <c r="B869" s="87"/>
      <c r="C869" s="87"/>
      <c r="D869" s="88"/>
      <c r="E869" s="164" t="s">
        <v>926</v>
      </c>
      <c r="F869" s="90"/>
      <c r="H869" s="91"/>
      <c r="I869" s="92" t="str">
        <f t="shared" si="525"/>
        <v/>
      </c>
      <c r="J869" s="93" t="str">
        <f t="shared" si="526"/>
        <v/>
      </c>
      <c r="K869" s="94" t="s">
        <v>549</v>
      </c>
      <c r="L869" s="95" t="str">
        <f t="shared" si="527"/>
        <v/>
      </c>
      <c r="M869" s="96" t="str">
        <f t="shared" si="528"/>
        <v/>
      </c>
      <c r="N869" s="97" t="s">
        <v>549</v>
      </c>
      <c r="O869" s="97" t="str">
        <f t="shared" si="529"/>
        <v/>
      </c>
      <c r="P869" s="95" t="str">
        <f t="shared" si="530"/>
        <v/>
      </c>
      <c r="Q869" s="98" t="str">
        <f t="shared" si="531"/>
        <v/>
      </c>
      <c r="R869" s="119"/>
    </row>
    <row r="870" spans="1:18" x14ac:dyDescent="0.3">
      <c r="A870" s="86" t="str">
        <f>IF(TRIM(H870)&lt;&gt;"",COUNTA(H$9:$H870)&amp;"","")</f>
        <v/>
      </c>
      <c r="B870" s="87"/>
      <c r="C870" s="87"/>
      <c r="D870" s="88"/>
      <c r="E870" s="125" t="s">
        <v>188</v>
      </c>
      <c r="F870" s="90"/>
      <c r="H870" s="91"/>
      <c r="I870" s="92" t="str">
        <f t="shared" si="525"/>
        <v/>
      </c>
      <c r="J870" s="93" t="str">
        <f t="shared" si="526"/>
        <v/>
      </c>
      <c r="K870" s="94" t="s">
        <v>549</v>
      </c>
      <c r="L870" s="95" t="str">
        <f t="shared" si="527"/>
        <v/>
      </c>
      <c r="M870" s="96" t="str">
        <f t="shared" si="528"/>
        <v/>
      </c>
      <c r="N870" s="97" t="s">
        <v>549</v>
      </c>
      <c r="O870" s="97" t="str">
        <f t="shared" si="529"/>
        <v/>
      </c>
      <c r="P870" s="95" t="str">
        <f t="shared" si="530"/>
        <v/>
      </c>
      <c r="Q870" s="98" t="str">
        <f t="shared" si="531"/>
        <v/>
      </c>
      <c r="R870" s="119"/>
    </row>
    <row r="871" spans="1:18" x14ac:dyDescent="0.3">
      <c r="A871" s="86" t="str">
        <f>IF(TRIM(H871)&lt;&gt;"",COUNTA(H$9:$H871)&amp;"","")</f>
        <v>629</v>
      </c>
      <c r="B871" s="87" t="s">
        <v>817</v>
      </c>
      <c r="C871" s="87" t="s">
        <v>817</v>
      </c>
      <c r="D871" s="88"/>
      <c r="E871" s="89" t="s">
        <v>850</v>
      </c>
      <c r="F871" s="90">
        <v>723.26</v>
      </c>
      <c r="H871" s="91" t="s">
        <v>210</v>
      </c>
      <c r="I871" s="92">
        <v>0.1</v>
      </c>
      <c r="J871" s="93">
        <f t="shared" si="526"/>
        <v>795.58600000000001</v>
      </c>
      <c r="K871" s="94">
        <v>1.7999999999999998</v>
      </c>
      <c r="L871" s="95">
        <f t="shared" si="527"/>
        <v>1432.0547999999999</v>
      </c>
      <c r="M871" s="96">
        <f t="shared" si="528"/>
        <v>75</v>
      </c>
      <c r="N871" s="97">
        <v>3.0000000000000006E-2</v>
      </c>
      <c r="O871" s="97">
        <f t="shared" si="529"/>
        <v>23.867580000000004</v>
      </c>
      <c r="P871" s="95">
        <f t="shared" si="530"/>
        <v>1790.0685000000003</v>
      </c>
      <c r="Q871" s="98">
        <f t="shared" si="531"/>
        <v>3222.1233000000002</v>
      </c>
      <c r="R871" s="119"/>
    </row>
    <row r="872" spans="1:18" x14ac:dyDescent="0.3">
      <c r="A872" s="86" t="str">
        <f>IF(TRIM(H872)&lt;&gt;"",COUNTA(H$9:$H872)&amp;"","")</f>
        <v/>
      </c>
      <c r="B872" s="87"/>
      <c r="C872" s="87"/>
      <c r="D872" s="88"/>
      <c r="E872" s="100"/>
      <c r="F872" s="90"/>
      <c r="H872" s="91"/>
      <c r="I872" s="92" t="str">
        <f t="shared" ref="I872:I873" si="533">IF(F872=0,"",0)</f>
        <v/>
      </c>
      <c r="J872" s="93" t="str">
        <f t="shared" si="526"/>
        <v/>
      </c>
      <c r="K872" s="94" t="s">
        <v>549</v>
      </c>
      <c r="L872" s="95" t="str">
        <f t="shared" si="527"/>
        <v/>
      </c>
      <c r="M872" s="96" t="str">
        <f t="shared" si="528"/>
        <v/>
      </c>
      <c r="N872" s="97" t="s">
        <v>549</v>
      </c>
      <c r="O872" s="97" t="str">
        <f t="shared" si="529"/>
        <v/>
      </c>
      <c r="P872" s="95" t="str">
        <f t="shared" si="530"/>
        <v/>
      </c>
      <c r="Q872" s="98" t="str">
        <f t="shared" si="531"/>
        <v/>
      </c>
      <c r="R872" s="119"/>
    </row>
    <row r="873" spans="1:18" x14ac:dyDescent="0.3">
      <c r="A873" s="86" t="str">
        <f>IF(TRIM(H873)&lt;&gt;"",COUNTA(H$9:$H873)&amp;"","")</f>
        <v/>
      </c>
      <c r="B873" s="87"/>
      <c r="C873" s="87"/>
      <c r="D873" s="88"/>
      <c r="E873" s="125" t="s">
        <v>820</v>
      </c>
      <c r="F873" s="90"/>
      <c r="H873" s="91"/>
      <c r="I873" s="92" t="str">
        <f t="shared" si="533"/>
        <v/>
      </c>
      <c r="J873" s="93" t="str">
        <f t="shared" si="526"/>
        <v/>
      </c>
      <c r="K873" s="94" t="s">
        <v>549</v>
      </c>
      <c r="L873" s="95" t="str">
        <f t="shared" si="527"/>
        <v/>
      </c>
      <c r="M873" s="96" t="str">
        <f t="shared" si="528"/>
        <v/>
      </c>
      <c r="N873" s="97" t="s">
        <v>549</v>
      </c>
      <c r="O873" s="97" t="str">
        <f t="shared" si="529"/>
        <v/>
      </c>
      <c r="P873" s="95" t="str">
        <f t="shared" si="530"/>
        <v/>
      </c>
      <c r="Q873" s="98" t="str">
        <f t="shared" si="531"/>
        <v/>
      </c>
      <c r="R873" s="119"/>
    </row>
    <row r="874" spans="1:18" x14ac:dyDescent="0.3">
      <c r="A874" s="86" t="str">
        <f>IF(TRIM(H874)&lt;&gt;"",COUNTA(H$9:$H874)&amp;"","")</f>
        <v>630</v>
      </c>
      <c r="B874" s="87" t="s">
        <v>817</v>
      </c>
      <c r="C874" s="87" t="s">
        <v>817</v>
      </c>
      <c r="D874" s="88"/>
      <c r="E874" s="89" t="s">
        <v>917</v>
      </c>
      <c r="F874" s="90">
        <v>766.94</v>
      </c>
      <c r="H874" s="91" t="s">
        <v>210</v>
      </c>
      <c r="I874" s="92">
        <v>0.1</v>
      </c>
      <c r="J874" s="93">
        <f t="shared" si="526"/>
        <v>843.63400000000001</v>
      </c>
      <c r="K874" s="94">
        <v>0.22799999999999998</v>
      </c>
      <c r="L874" s="95">
        <f t="shared" si="527"/>
        <v>192.34855199999998</v>
      </c>
      <c r="M874" s="96">
        <f t="shared" si="528"/>
        <v>75</v>
      </c>
      <c r="N874" s="97">
        <v>3.8000000000000004E-3</v>
      </c>
      <c r="O874" s="97">
        <f t="shared" si="529"/>
        <v>3.2058092000000005</v>
      </c>
      <c r="P874" s="95">
        <f t="shared" si="530"/>
        <v>240.43569000000002</v>
      </c>
      <c r="Q874" s="98">
        <f t="shared" si="531"/>
        <v>432.78424200000001</v>
      </c>
      <c r="R874" s="119"/>
    </row>
    <row r="875" spans="1:18" x14ac:dyDescent="0.3">
      <c r="A875" s="86" t="str">
        <f>IF(TRIM(H875)&lt;&gt;"",COUNTA(H$9:$H875)&amp;"","")</f>
        <v>631</v>
      </c>
      <c r="B875" s="87" t="s">
        <v>817</v>
      </c>
      <c r="C875" s="87" t="s">
        <v>817</v>
      </c>
      <c r="D875" s="88"/>
      <c r="E875" s="89" t="s">
        <v>927</v>
      </c>
      <c r="F875" s="90">
        <v>5436.64</v>
      </c>
      <c r="H875" s="91" t="s">
        <v>210</v>
      </c>
      <c r="I875" s="92">
        <v>0.1</v>
      </c>
      <c r="J875" s="93">
        <f t="shared" si="526"/>
        <v>5980.3040000000001</v>
      </c>
      <c r="K875" s="94">
        <v>0.21</v>
      </c>
      <c r="L875" s="95">
        <f t="shared" si="527"/>
        <v>1255.86384</v>
      </c>
      <c r="M875" s="96">
        <f t="shared" si="528"/>
        <v>75</v>
      </c>
      <c r="N875" s="97">
        <v>3.4999999999999996E-3</v>
      </c>
      <c r="O875" s="97">
        <f t="shared" si="529"/>
        <v>20.931063999999999</v>
      </c>
      <c r="P875" s="95">
        <f t="shared" si="530"/>
        <v>1569.8298</v>
      </c>
      <c r="Q875" s="98">
        <f t="shared" si="531"/>
        <v>2825.69364</v>
      </c>
      <c r="R875" s="119"/>
    </row>
    <row r="876" spans="1:18" x14ac:dyDescent="0.3">
      <c r="A876" s="86" t="str">
        <f>IF(TRIM(H876)&lt;&gt;"",COUNTA(H$9:$H876)&amp;"","")</f>
        <v>632</v>
      </c>
      <c r="B876" s="87" t="s">
        <v>817</v>
      </c>
      <c r="C876" s="87" t="s">
        <v>817</v>
      </c>
      <c r="D876" s="88"/>
      <c r="E876" s="89" t="s">
        <v>928</v>
      </c>
      <c r="F876" s="90">
        <v>428.31</v>
      </c>
      <c r="H876" s="91" t="s">
        <v>210</v>
      </c>
      <c r="I876" s="92">
        <v>0.1</v>
      </c>
      <c r="J876" s="93">
        <f t="shared" si="526"/>
        <v>471.14100000000002</v>
      </c>
      <c r="K876" s="94">
        <v>1.56</v>
      </c>
      <c r="L876" s="95">
        <f t="shared" si="527"/>
        <v>734.97996000000001</v>
      </c>
      <c r="M876" s="96">
        <f t="shared" si="528"/>
        <v>75</v>
      </c>
      <c r="N876" s="97">
        <v>2.6000000000000002E-2</v>
      </c>
      <c r="O876" s="97">
        <f t="shared" si="529"/>
        <v>12.249666000000001</v>
      </c>
      <c r="P876" s="95">
        <f t="shared" si="530"/>
        <v>918.72495000000015</v>
      </c>
      <c r="Q876" s="98">
        <f t="shared" si="531"/>
        <v>1653.7049100000002</v>
      </c>
      <c r="R876" s="119"/>
    </row>
    <row r="877" spans="1:18" x14ac:dyDescent="0.3">
      <c r="A877" s="86" t="str">
        <f>IF(TRIM(H877)&lt;&gt;"",COUNTA(H$9:$H877)&amp;"","")</f>
        <v/>
      </c>
      <c r="B877" s="87"/>
      <c r="C877" s="87"/>
      <c r="D877" s="88"/>
      <c r="E877" s="100"/>
      <c r="F877" s="90"/>
      <c r="H877" s="91"/>
      <c r="I877" s="92" t="str">
        <f t="shared" ref="I877:I894" si="534">IF(F877=0,"",0)</f>
        <v/>
      </c>
      <c r="J877" s="93" t="str">
        <f t="shared" si="526"/>
        <v/>
      </c>
      <c r="K877" s="94" t="s">
        <v>549</v>
      </c>
      <c r="L877" s="95" t="str">
        <f t="shared" si="527"/>
        <v/>
      </c>
      <c r="M877" s="96" t="str">
        <f t="shared" si="528"/>
        <v/>
      </c>
      <c r="N877" s="97" t="s">
        <v>549</v>
      </c>
      <c r="O877" s="97" t="str">
        <f t="shared" si="529"/>
        <v/>
      </c>
      <c r="P877" s="95" t="str">
        <f t="shared" si="530"/>
        <v/>
      </c>
      <c r="Q877" s="98" t="str">
        <f t="shared" si="531"/>
        <v/>
      </c>
      <c r="R877" s="119"/>
    </row>
    <row r="878" spans="1:18" x14ac:dyDescent="0.3">
      <c r="A878" s="86" t="str">
        <f>IF(TRIM(H878)&lt;&gt;"",COUNTA(H$9:$H878)&amp;"","")</f>
        <v/>
      </c>
      <c r="B878" s="87"/>
      <c r="C878" s="87"/>
      <c r="D878" s="88"/>
      <c r="E878" s="125" t="s">
        <v>196</v>
      </c>
      <c r="F878" s="90"/>
      <c r="H878" s="91"/>
      <c r="I878" s="92" t="str">
        <f t="shared" si="534"/>
        <v/>
      </c>
      <c r="J878" s="93" t="str">
        <f t="shared" si="526"/>
        <v/>
      </c>
      <c r="K878" s="94" t="s">
        <v>549</v>
      </c>
      <c r="L878" s="95" t="str">
        <f t="shared" si="527"/>
        <v/>
      </c>
      <c r="M878" s="96" t="str">
        <f t="shared" si="528"/>
        <v/>
      </c>
      <c r="N878" s="97" t="s">
        <v>549</v>
      </c>
      <c r="O878" s="97" t="str">
        <f t="shared" si="529"/>
        <v/>
      </c>
      <c r="P878" s="95" t="str">
        <f t="shared" si="530"/>
        <v/>
      </c>
      <c r="Q878" s="98" t="str">
        <f t="shared" si="531"/>
        <v/>
      </c>
      <c r="R878" s="119"/>
    </row>
    <row r="879" spans="1:18" x14ac:dyDescent="0.3">
      <c r="A879" s="86" t="str">
        <f>IF(TRIM(H879)&lt;&gt;"",COUNTA(H$9:$H879)&amp;"","")</f>
        <v>633</v>
      </c>
      <c r="B879" s="87" t="s">
        <v>817</v>
      </c>
      <c r="C879" s="87" t="s">
        <v>817</v>
      </c>
      <c r="D879" s="88"/>
      <c r="E879" s="100" t="s">
        <v>929</v>
      </c>
      <c r="F879" s="90">
        <v>3</v>
      </c>
      <c r="H879" s="91" t="s">
        <v>239</v>
      </c>
      <c r="I879" s="92">
        <f t="shared" si="534"/>
        <v>0</v>
      </c>
      <c r="J879" s="93">
        <f t="shared" si="526"/>
        <v>3</v>
      </c>
      <c r="K879" s="94">
        <v>140</v>
      </c>
      <c r="L879" s="95">
        <f t="shared" si="527"/>
        <v>420</v>
      </c>
      <c r="M879" s="96">
        <f t="shared" si="528"/>
        <v>75</v>
      </c>
      <c r="N879" s="97">
        <v>0.875</v>
      </c>
      <c r="O879" s="97">
        <f t="shared" si="529"/>
        <v>2.625</v>
      </c>
      <c r="P879" s="95">
        <f t="shared" si="530"/>
        <v>196.875</v>
      </c>
      <c r="Q879" s="98">
        <f t="shared" si="531"/>
        <v>616.875</v>
      </c>
      <c r="R879" s="119"/>
    </row>
    <row r="880" spans="1:18" x14ac:dyDescent="0.3">
      <c r="A880" s="86" t="str">
        <f>IF(TRIM(H880)&lt;&gt;"",COUNTA(H$9:$H880)&amp;"","")</f>
        <v>634</v>
      </c>
      <c r="B880" s="87" t="s">
        <v>817</v>
      </c>
      <c r="C880" s="87" t="s">
        <v>817</v>
      </c>
      <c r="D880" s="88"/>
      <c r="E880" s="100" t="s">
        <v>930</v>
      </c>
      <c r="F880" s="90">
        <v>4</v>
      </c>
      <c r="H880" s="91" t="s">
        <v>239</v>
      </c>
      <c r="I880" s="92">
        <f t="shared" si="534"/>
        <v>0</v>
      </c>
      <c r="J880" s="93">
        <f t="shared" si="526"/>
        <v>4</v>
      </c>
      <c r="K880" s="94">
        <v>140</v>
      </c>
      <c r="L880" s="95">
        <f t="shared" si="527"/>
        <v>560</v>
      </c>
      <c r="M880" s="96">
        <f t="shared" si="528"/>
        <v>75</v>
      </c>
      <c r="N880" s="97">
        <v>0.875</v>
      </c>
      <c r="O880" s="97">
        <f t="shared" si="529"/>
        <v>3.5</v>
      </c>
      <c r="P880" s="95">
        <f t="shared" si="530"/>
        <v>262.5</v>
      </c>
      <c r="Q880" s="98">
        <f t="shared" si="531"/>
        <v>822.5</v>
      </c>
      <c r="R880" s="119"/>
    </row>
    <row r="881" spans="1:18" x14ac:dyDescent="0.3">
      <c r="A881" s="86" t="str">
        <f>IF(TRIM(H881)&lt;&gt;"",COUNTA(H$9:$H881)&amp;"","")</f>
        <v>635</v>
      </c>
      <c r="B881" s="87" t="s">
        <v>817</v>
      </c>
      <c r="C881" s="87" t="s">
        <v>817</v>
      </c>
      <c r="D881" s="88"/>
      <c r="E881" s="100" t="s">
        <v>931</v>
      </c>
      <c r="F881" s="90">
        <v>2</v>
      </c>
      <c r="H881" s="91" t="s">
        <v>239</v>
      </c>
      <c r="I881" s="92">
        <f t="shared" si="534"/>
        <v>0</v>
      </c>
      <c r="J881" s="93">
        <f t="shared" si="526"/>
        <v>2</v>
      </c>
      <c r="K881" s="94">
        <v>2400</v>
      </c>
      <c r="L881" s="95">
        <f t="shared" si="527"/>
        <v>4800</v>
      </c>
      <c r="M881" s="96">
        <f t="shared" si="528"/>
        <v>75</v>
      </c>
      <c r="N881" s="97">
        <v>15</v>
      </c>
      <c r="O881" s="97">
        <f t="shared" si="529"/>
        <v>30</v>
      </c>
      <c r="P881" s="95">
        <f t="shared" si="530"/>
        <v>2250</v>
      </c>
      <c r="Q881" s="98">
        <f t="shared" si="531"/>
        <v>7050</v>
      </c>
      <c r="R881" s="119"/>
    </row>
    <row r="882" spans="1:18" ht="27.6" x14ac:dyDescent="0.3">
      <c r="A882" s="86" t="str">
        <f>IF(TRIM(H882)&lt;&gt;"",COUNTA(H$9:$H882)&amp;"","")</f>
        <v>636</v>
      </c>
      <c r="B882" s="87" t="s">
        <v>817</v>
      </c>
      <c r="C882" s="87" t="s">
        <v>817</v>
      </c>
      <c r="D882" s="88"/>
      <c r="E882" s="100" t="s">
        <v>932</v>
      </c>
      <c r="F882" s="90">
        <v>3</v>
      </c>
      <c r="H882" s="91" t="s">
        <v>239</v>
      </c>
      <c r="I882" s="92">
        <f t="shared" si="534"/>
        <v>0</v>
      </c>
      <c r="J882" s="93">
        <f t="shared" si="526"/>
        <v>3</v>
      </c>
      <c r="K882" s="94">
        <v>144</v>
      </c>
      <c r="L882" s="95">
        <f t="shared" si="527"/>
        <v>432</v>
      </c>
      <c r="M882" s="96">
        <f t="shared" si="528"/>
        <v>75</v>
      </c>
      <c r="N882" s="97">
        <v>0.9</v>
      </c>
      <c r="O882" s="97">
        <f t="shared" si="529"/>
        <v>2.7</v>
      </c>
      <c r="P882" s="95">
        <f t="shared" si="530"/>
        <v>202.5</v>
      </c>
      <c r="Q882" s="98">
        <f t="shared" si="531"/>
        <v>634.5</v>
      </c>
      <c r="R882" s="119"/>
    </row>
    <row r="883" spans="1:18" x14ac:dyDescent="0.3">
      <c r="A883" s="86" t="str">
        <f>IF(TRIM(H883)&lt;&gt;"",COUNTA(H$9:$H883)&amp;"","")</f>
        <v>637</v>
      </c>
      <c r="B883" s="87" t="s">
        <v>817</v>
      </c>
      <c r="C883" s="87" t="s">
        <v>817</v>
      </c>
      <c r="D883" s="88"/>
      <c r="E883" s="100" t="s">
        <v>933</v>
      </c>
      <c r="F883" s="90">
        <v>2</v>
      </c>
      <c r="H883" s="91" t="s">
        <v>239</v>
      </c>
      <c r="I883" s="92">
        <f t="shared" si="534"/>
        <v>0</v>
      </c>
      <c r="J883" s="93">
        <f t="shared" si="526"/>
        <v>2</v>
      </c>
      <c r="K883" s="94">
        <v>180</v>
      </c>
      <c r="L883" s="95">
        <f t="shared" si="527"/>
        <v>360</v>
      </c>
      <c r="M883" s="96">
        <f t="shared" si="528"/>
        <v>75</v>
      </c>
      <c r="N883" s="97">
        <v>1.125</v>
      </c>
      <c r="O883" s="97">
        <f t="shared" si="529"/>
        <v>2.25</v>
      </c>
      <c r="P883" s="95">
        <f t="shared" si="530"/>
        <v>168.75</v>
      </c>
      <c r="Q883" s="98">
        <f t="shared" si="531"/>
        <v>528.75</v>
      </c>
      <c r="R883" s="119"/>
    </row>
    <row r="884" spans="1:18" x14ac:dyDescent="0.3">
      <c r="A884" s="86" t="str">
        <f>IF(TRIM(H884)&lt;&gt;"",COUNTA(H$9:$H884)&amp;"","")</f>
        <v>638</v>
      </c>
      <c r="B884" s="87" t="s">
        <v>817</v>
      </c>
      <c r="C884" s="87" t="s">
        <v>817</v>
      </c>
      <c r="D884" s="88"/>
      <c r="E884" s="100" t="s">
        <v>934</v>
      </c>
      <c r="F884" s="90">
        <v>1</v>
      </c>
      <c r="H884" s="91" t="s">
        <v>239</v>
      </c>
      <c r="I884" s="92">
        <f t="shared" si="534"/>
        <v>0</v>
      </c>
      <c r="J884" s="93">
        <f t="shared" si="526"/>
        <v>1</v>
      </c>
      <c r="K884" s="94">
        <v>121.6</v>
      </c>
      <c r="L884" s="95">
        <f t="shared" si="527"/>
        <v>121.6</v>
      </c>
      <c r="M884" s="96">
        <f t="shared" si="528"/>
        <v>75</v>
      </c>
      <c r="N884" s="97">
        <v>0.76</v>
      </c>
      <c r="O884" s="97">
        <f t="shared" si="529"/>
        <v>0.76</v>
      </c>
      <c r="P884" s="95">
        <f t="shared" si="530"/>
        <v>57</v>
      </c>
      <c r="Q884" s="98">
        <f t="shared" si="531"/>
        <v>178.6</v>
      </c>
      <c r="R884" s="119"/>
    </row>
    <row r="885" spans="1:18" x14ac:dyDescent="0.3">
      <c r="A885" s="86" t="str">
        <f>IF(TRIM(H885)&lt;&gt;"",COUNTA(H$9:$H885)&amp;"","")</f>
        <v>639</v>
      </c>
      <c r="B885" s="87" t="s">
        <v>817</v>
      </c>
      <c r="C885" s="87" t="s">
        <v>817</v>
      </c>
      <c r="D885" s="88"/>
      <c r="E885" s="100" t="s">
        <v>935</v>
      </c>
      <c r="F885" s="90">
        <v>4</v>
      </c>
      <c r="H885" s="91" t="s">
        <v>239</v>
      </c>
      <c r="I885" s="92">
        <f t="shared" si="534"/>
        <v>0</v>
      </c>
      <c r="J885" s="93">
        <f t="shared" si="526"/>
        <v>4</v>
      </c>
      <c r="K885" s="94">
        <v>121.6</v>
      </c>
      <c r="L885" s="95">
        <f t="shared" si="527"/>
        <v>486.4</v>
      </c>
      <c r="M885" s="96">
        <f t="shared" si="528"/>
        <v>75</v>
      </c>
      <c r="N885" s="97">
        <v>0.76</v>
      </c>
      <c r="O885" s="97">
        <f t="shared" si="529"/>
        <v>3.04</v>
      </c>
      <c r="P885" s="95">
        <f t="shared" si="530"/>
        <v>228</v>
      </c>
      <c r="Q885" s="98">
        <f t="shared" si="531"/>
        <v>714.4</v>
      </c>
      <c r="R885" s="119"/>
    </row>
    <row r="886" spans="1:18" x14ac:dyDescent="0.3">
      <c r="A886" s="86" t="str">
        <f>IF(TRIM(H886)&lt;&gt;"",COUNTA(H$9:$H886)&amp;"","")</f>
        <v>640</v>
      </c>
      <c r="B886" s="87" t="s">
        <v>817</v>
      </c>
      <c r="C886" s="87" t="s">
        <v>817</v>
      </c>
      <c r="D886" s="88"/>
      <c r="E886" s="100" t="s">
        <v>936</v>
      </c>
      <c r="F886" s="90">
        <v>1</v>
      </c>
      <c r="H886" s="91" t="s">
        <v>239</v>
      </c>
      <c r="I886" s="92">
        <f t="shared" si="534"/>
        <v>0</v>
      </c>
      <c r="J886" s="93">
        <f t="shared" si="526"/>
        <v>1</v>
      </c>
      <c r="K886" s="94">
        <v>176</v>
      </c>
      <c r="L886" s="95">
        <f t="shared" si="527"/>
        <v>176</v>
      </c>
      <c r="M886" s="96">
        <f t="shared" si="528"/>
        <v>75</v>
      </c>
      <c r="N886" s="97">
        <v>1.1000000000000001</v>
      </c>
      <c r="O886" s="97">
        <f t="shared" si="529"/>
        <v>1.1000000000000001</v>
      </c>
      <c r="P886" s="95">
        <f t="shared" si="530"/>
        <v>82.5</v>
      </c>
      <c r="Q886" s="98">
        <f t="shared" si="531"/>
        <v>258.5</v>
      </c>
      <c r="R886" s="119"/>
    </row>
    <row r="887" spans="1:18" x14ac:dyDescent="0.3">
      <c r="A887" s="86" t="str">
        <f>IF(TRIM(H887)&lt;&gt;"",COUNTA(H$9:$H887)&amp;"","")</f>
        <v>641</v>
      </c>
      <c r="B887" s="87" t="s">
        <v>817</v>
      </c>
      <c r="C887" s="87" t="s">
        <v>817</v>
      </c>
      <c r="D887" s="88"/>
      <c r="E887" s="100" t="s">
        <v>937</v>
      </c>
      <c r="F887" s="90">
        <v>2</v>
      </c>
      <c r="H887" s="91" t="s">
        <v>239</v>
      </c>
      <c r="I887" s="92">
        <f t="shared" si="534"/>
        <v>0</v>
      </c>
      <c r="J887" s="93">
        <f t="shared" si="526"/>
        <v>2</v>
      </c>
      <c r="K887" s="94">
        <v>184</v>
      </c>
      <c r="L887" s="95">
        <f t="shared" si="527"/>
        <v>368</v>
      </c>
      <c r="M887" s="96">
        <f t="shared" si="528"/>
        <v>75</v>
      </c>
      <c r="N887" s="97">
        <v>1.1499999999999999</v>
      </c>
      <c r="O887" s="97">
        <f t="shared" si="529"/>
        <v>2.2999999999999998</v>
      </c>
      <c r="P887" s="95">
        <f t="shared" si="530"/>
        <v>172.5</v>
      </c>
      <c r="Q887" s="98">
        <f t="shared" si="531"/>
        <v>540.5</v>
      </c>
      <c r="R887" s="119"/>
    </row>
    <row r="888" spans="1:18" x14ac:dyDescent="0.3">
      <c r="A888" s="86" t="str">
        <f>IF(TRIM(H888)&lt;&gt;"",COUNTA(H$9:$H888)&amp;"","")</f>
        <v>642</v>
      </c>
      <c r="B888" s="87" t="s">
        <v>817</v>
      </c>
      <c r="C888" s="87" t="s">
        <v>817</v>
      </c>
      <c r="D888" s="88"/>
      <c r="E888" s="100" t="s">
        <v>938</v>
      </c>
      <c r="F888" s="90">
        <v>3</v>
      </c>
      <c r="H888" s="91" t="s">
        <v>239</v>
      </c>
      <c r="I888" s="92">
        <f t="shared" si="534"/>
        <v>0</v>
      </c>
      <c r="J888" s="93">
        <f t="shared" si="526"/>
        <v>3</v>
      </c>
      <c r="K888" s="94">
        <v>134.4</v>
      </c>
      <c r="L888" s="95">
        <f t="shared" si="527"/>
        <v>403.20000000000005</v>
      </c>
      <c r="M888" s="96">
        <f t="shared" si="528"/>
        <v>75</v>
      </c>
      <c r="N888" s="97">
        <v>0.84000000000000008</v>
      </c>
      <c r="O888" s="97">
        <f t="shared" si="529"/>
        <v>2.5200000000000005</v>
      </c>
      <c r="P888" s="95">
        <f t="shared" si="530"/>
        <v>189.00000000000003</v>
      </c>
      <c r="Q888" s="98">
        <f t="shared" si="531"/>
        <v>592.20000000000005</v>
      </c>
      <c r="R888" s="119"/>
    </row>
    <row r="889" spans="1:18" x14ac:dyDescent="0.3">
      <c r="A889" s="86" t="str">
        <f>IF(TRIM(H889)&lt;&gt;"",COUNTA(H$9:$H889)&amp;"","")</f>
        <v>643</v>
      </c>
      <c r="B889" s="87" t="s">
        <v>817</v>
      </c>
      <c r="C889" s="87" t="s">
        <v>817</v>
      </c>
      <c r="D889" s="88"/>
      <c r="E889" s="100" t="s">
        <v>939</v>
      </c>
      <c r="F889" s="90">
        <v>1</v>
      </c>
      <c r="H889" s="91" t="s">
        <v>239</v>
      </c>
      <c r="I889" s="92">
        <f t="shared" si="534"/>
        <v>0</v>
      </c>
      <c r="J889" s="93">
        <f t="shared" si="526"/>
        <v>1</v>
      </c>
      <c r="K889" s="94">
        <v>248</v>
      </c>
      <c r="L889" s="95">
        <f t="shared" si="527"/>
        <v>248</v>
      </c>
      <c r="M889" s="96">
        <f t="shared" si="528"/>
        <v>75</v>
      </c>
      <c r="N889" s="97">
        <v>1.55</v>
      </c>
      <c r="O889" s="97">
        <f t="shared" si="529"/>
        <v>1.55</v>
      </c>
      <c r="P889" s="95">
        <f t="shared" si="530"/>
        <v>116.25</v>
      </c>
      <c r="Q889" s="98">
        <f t="shared" si="531"/>
        <v>364.25</v>
      </c>
      <c r="R889" s="119"/>
    </row>
    <row r="890" spans="1:18" x14ac:dyDescent="0.3">
      <c r="A890" s="86" t="str">
        <f>IF(TRIM(H890)&lt;&gt;"",COUNTA(H$9:$H890)&amp;"","")</f>
        <v>644</v>
      </c>
      <c r="B890" s="87" t="s">
        <v>817</v>
      </c>
      <c r="C890" s="87" t="s">
        <v>817</v>
      </c>
      <c r="D890" s="88"/>
      <c r="E890" s="100" t="s">
        <v>940</v>
      </c>
      <c r="F890" s="90">
        <v>1</v>
      </c>
      <c r="H890" s="91" t="s">
        <v>239</v>
      </c>
      <c r="I890" s="92">
        <f t="shared" si="534"/>
        <v>0</v>
      </c>
      <c r="J890" s="93">
        <f t="shared" si="526"/>
        <v>1</v>
      </c>
      <c r="K890" s="94">
        <v>680</v>
      </c>
      <c r="L890" s="95">
        <f t="shared" si="527"/>
        <v>680</v>
      </c>
      <c r="M890" s="96">
        <f t="shared" si="528"/>
        <v>75</v>
      </c>
      <c r="N890" s="97">
        <v>4.25</v>
      </c>
      <c r="O890" s="97">
        <f t="shared" si="529"/>
        <v>4.25</v>
      </c>
      <c r="P890" s="95">
        <f t="shared" si="530"/>
        <v>318.75</v>
      </c>
      <c r="Q890" s="98">
        <f t="shared" si="531"/>
        <v>998.75</v>
      </c>
      <c r="R890" s="119"/>
    </row>
    <row r="891" spans="1:18" x14ac:dyDescent="0.3">
      <c r="A891" s="86" t="str">
        <f>IF(TRIM(H891)&lt;&gt;"",COUNTA(H$9:$H891)&amp;"","")</f>
        <v>645</v>
      </c>
      <c r="B891" s="87" t="s">
        <v>817</v>
      </c>
      <c r="C891" s="87" t="s">
        <v>817</v>
      </c>
      <c r="D891" s="88"/>
      <c r="E891" s="100" t="s">
        <v>941</v>
      </c>
      <c r="F891" s="90">
        <v>18</v>
      </c>
      <c r="H891" s="91" t="s">
        <v>239</v>
      </c>
      <c r="I891" s="92">
        <f t="shared" si="534"/>
        <v>0</v>
      </c>
      <c r="J891" s="93">
        <f t="shared" si="526"/>
        <v>18</v>
      </c>
      <c r="K891" s="94">
        <v>121.6</v>
      </c>
      <c r="L891" s="95">
        <f t="shared" si="527"/>
        <v>2188.7999999999997</v>
      </c>
      <c r="M891" s="96">
        <f t="shared" si="528"/>
        <v>75</v>
      </c>
      <c r="N891" s="97">
        <v>0.76</v>
      </c>
      <c r="O891" s="97">
        <f t="shared" si="529"/>
        <v>13.68</v>
      </c>
      <c r="P891" s="95">
        <f t="shared" si="530"/>
        <v>1026</v>
      </c>
      <c r="Q891" s="98">
        <f t="shared" si="531"/>
        <v>3214.7999999999997</v>
      </c>
      <c r="R891" s="119"/>
    </row>
    <row r="892" spans="1:18" x14ac:dyDescent="0.3">
      <c r="A892" s="86" t="str">
        <f>IF(TRIM(H892)&lt;&gt;"",COUNTA(H$9:$H892)&amp;"","")</f>
        <v>646</v>
      </c>
      <c r="B892" s="87" t="s">
        <v>817</v>
      </c>
      <c r="C892" s="87" t="s">
        <v>817</v>
      </c>
      <c r="D892" s="88"/>
      <c r="E892" s="100" t="s">
        <v>942</v>
      </c>
      <c r="F892" s="90">
        <v>5</v>
      </c>
      <c r="H892" s="91" t="s">
        <v>239</v>
      </c>
      <c r="I892" s="92">
        <f t="shared" si="534"/>
        <v>0</v>
      </c>
      <c r="J892" s="93">
        <f t="shared" si="526"/>
        <v>5</v>
      </c>
      <c r="K892" s="94">
        <v>300</v>
      </c>
      <c r="L892" s="95">
        <f t="shared" si="527"/>
        <v>1500</v>
      </c>
      <c r="M892" s="96">
        <f t="shared" si="528"/>
        <v>75</v>
      </c>
      <c r="N892" s="97">
        <v>1.875</v>
      </c>
      <c r="O892" s="97">
        <f t="shared" si="529"/>
        <v>9.375</v>
      </c>
      <c r="P892" s="95">
        <f t="shared" si="530"/>
        <v>703.125</v>
      </c>
      <c r="Q892" s="98">
        <f t="shared" si="531"/>
        <v>2203.125</v>
      </c>
      <c r="R892" s="119"/>
    </row>
    <row r="893" spans="1:18" ht="27.6" x14ac:dyDescent="0.3">
      <c r="A893" s="86" t="str">
        <f>IF(TRIM(H893)&lt;&gt;"",COUNTA(H$9:$H893)&amp;"","")</f>
        <v>647</v>
      </c>
      <c r="B893" s="87" t="s">
        <v>817</v>
      </c>
      <c r="C893" s="87" t="s">
        <v>817</v>
      </c>
      <c r="D893" s="88"/>
      <c r="E893" s="100" t="s">
        <v>943</v>
      </c>
      <c r="F893" s="90">
        <v>9</v>
      </c>
      <c r="H893" s="91" t="s">
        <v>239</v>
      </c>
      <c r="I893" s="92">
        <f t="shared" si="534"/>
        <v>0</v>
      </c>
      <c r="J893" s="93">
        <f t="shared" si="526"/>
        <v>9</v>
      </c>
      <c r="K893" s="94">
        <v>0</v>
      </c>
      <c r="L893" s="95">
        <f t="shared" si="527"/>
        <v>0</v>
      </c>
      <c r="M893" s="96">
        <f t="shared" si="528"/>
        <v>75</v>
      </c>
      <c r="N893" s="97">
        <v>1.875</v>
      </c>
      <c r="O893" s="97">
        <f t="shared" si="529"/>
        <v>16.875</v>
      </c>
      <c r="P893" s="95">
        <f t="shared" si="530"/>
        <v>1265.625</v>
      </c>
      <c r="Q893" s="98">
        <f t="shared" si="531"/>
        <v>1265.625</v>
      </c>
      <c r="R893" s="119"/>
    </row>
    <row r="894" spans="1:18" x14ac:dyDescent="0.3">
      <c r="A894" s="86" t="str">
        <f>IF(TRIM(H894)&lt;&gt;"",COUNTA(H$9:$H894)&amp;"","")</f>
        <v>648</v>
      </c>
      <c r="B894" s="87" t="s">
        <v>817</v>
      </c>
      <c r="C894" s="87" t="s">
        <v>817</v>
      </c>
      <c r="D894" s="88"/>
      <c r="E894" s="100" t="s">
        <v>925</v>
      </c>
      <c r="F894" s="90">
        <v>59</v>
      </c>
      <c r="H894" s="91" t="s">
        <v>239</v>
      </c>
      <c r="I894" s="92">
        <f t="shared" si="534"/>
        <v>0</v>
      </c>
      <c r="J894" s="93">
        <f t="shared" si="526"/>
        <v>59</v>
      </c>
      <c r="K894" s="94">
        <v>100</v>
      </c>
      <c r="L894" s="95">
        <f t="shared" si="527"/>
        <v>5900</v>
      </c>
      <c r="M894" s="96">
        <f t="shared" si="528"/>
        <v>75</v>
      </c>
      <c r="N894" s="97">
        <v>0.625</v>
      </c>
      <c r="O894" s="97">
        <f t="shared" si="529"/>
        <v>36.875</v>
      </c>
      <c r="P894" s="95">
        <f t="shared" si="530"/>
        <v>2765.625</v>
      </c>
      <c r="Q894" s="98">
        <f t="shared" si="531"/>
        <v>8665.625</v>
      </c>
      <c r="R894" s="119"/>
    </row>
    <row r="895" spans="1:18" ht="15" thickBot="1" x14ac:dyDescent="0.35">
      <c r="A895" s="86" t="str">
        <f>IF(TRIM(H895)&lt;&gt;"",COUNTA(H$9:$H895)&amp;"","")</f>
        <v/>
      </c>
      <c r="B895" s="101"/>
      <c r="C895" s="101"/>
      <c r="D895" s="88"/>
      <c r="E895" s="102"/>
      <c r="F895" s="90"/>
      <c r="H895" s="91"/>
      <c r="I895" s="92" t="str">
        <f t="shared" si="474"/>
        <v/>
      </c>
      <c r="J895" s="93" t="str">
        <f t="shared" si="475"/>
        <v/>
      </c>
      <c r="K895" s="94" t="str">
        <f t="shared" si="476"/>
        <v/>
      </c>
      <c r="L895" s="95" t="str">
        <f t="shared" si="477"/>
        <v/>
      </c>
      <c r="M895" s="96" t="str">
        <f t="shared" si="478"/>
        <v/>
      </c>
      <c r="N895" s="97" t="str">
        <f t="shared" si="479"/>
        <v/>
      </c>
      <c r="O895" s="97" t="str">
        <f t="shared" si="480"/>
        <v/>
      </c>
      <c r="P895" s="95" t="str">
        <f t="shared" si="481"/>
        <v/>
      </c>
      <c r="Q895" s="98" t="str">
        <f t="shared" si="482"/>
        <v/>
      </c>
      <c r="R895" s="119"/>
    </row>
    <row r="896" spans="1:18" s="114" customFormat="1" ht="16.2" thickBot="1" x14ac:dyDescent="0.35">
      <c r="A896" s="86" t="str">
        <f>IF(TRIM(H896)&lt;&gt;"",COUNTA(H$9:$H896)&amp;"","")</f>
        <v/>
      </c>
      <c r="B896" s="121"/>
      <c r="C896" s="121"/>
      <c r="D896" s="122"/>
      <c r="E896" s="105"/>
      <c r="F896" s="90"/>
      <c r="H896" s="123"/>
      <c r="I896" s="108" t="s">
        <v>12</v>
      </c>
      <c r="J896" s="109"/>
      <c r="K896" s="110">
        <f>SUM(L$725:L$895)</f>
        <v>114733.41097459999</v>
      </c>
      <c r="L896" s="190" t="s">
        <v>13</v>
      </c>
      <c r="M896" s="191"/>
      <c r="N896" s="111">
        <f>SUM(P$725:P$895)</f>
        <v>81318.013718250018</v>
      </c>
      <c r="O896" s="190" t="s">
        <v>42</v>
      </c>
      <c r="P896" s="191"/>
      <c r="Q896" s="112">
        <f>SUM(O$725:O$895)</f>
        <v>1084.2401829099995</v>
      </c>
      <c r="R896" s="113">
        <f>SUM(Q$725:Q$895)</f>
        <v>196051.42469285001</v>
      </c>
    </row>
    <row r="897" spans="1:18" s="171" customFormat="1" ht="20.100000000000001" customHeight="1" x14ac:dyDescent="0.3">
      <c r="A897" s="167" t="str">
        <f>IF(TRIM(H897)&lt;&gt;"",COUNTA(H$9:$H897)&amp;"","")</f>
        <v/>
      </c>
      <c r="B897" s="168"/>
      <c r="C897" s="168"/>
      <c r="D897" s="169" t="s">
        <v>66</v>
      </c>
      <c r="E897" s="169" t="s">
        <v>144</v>
      </c>
      <c r="F897" s="170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72"/>
    </row>
    <row r="898" spans="1:18" s="116" customFormat="1" ht="19.2" customHeight="1" x14ac:dyDescent="0.3">
      <c r="A898" s="86" t="str">
        <f>IF(TRIM(H898)&lt;&gt;"",COUNTA(H$9:$H898)&amp;"","")</f>
        <v/>
      </c>
      <c r="B898" s="115"/>
      <c r="C898" s="115"/>
      <c r="D898" s="88" t="s">
        <v>146</v>
      </c>
      <c r="E898" s="164" t="s">
        <v>145</v>
      </c>
      <c r="F898" s="90"/>
      <c r="H898" s="91"/>
      <c r="I898" s="92" t="str">
        <f t="shared" ref="I898:I903" si="535">IF(F898=0,"",0)</f>
        <v/>
      </c>
      <c r="J898" s="93" t="str">
        <f t="shared" ref="J898:J903" si="536">IF(F898=0,"",F898+(F898*I898))</f>
        <v/>
      </c>
      <c r="K898" s="94" t="str">
        <f t="shared" ref="K898:K903" si="537">IF(F898=0,"",0)</f>
        <v/>
      </c>
      <c r="L898" s="95" t="str">
        <f t="shared" ref="L898:L903" si="538">IF(F898=0,"",K898*J898)</f>
        <v/>
      </c>
      <c r="M898" s="96" t="str">
        <f t="shared" ref="M898:M903" si="539">IF(F898=0,"",M$7)</f>
        <v/>
      </c>
      <c r="N898" s="97" t="str">
        <f t="shared" ref="N898:N903" si="540">IF(F898=0,"",0)</f>
        <v/>
      </c>
      <c r="O898" s="97" t="str">
        <f t="shared" ref="O898:O903" si="541">IF(F898=0,"",N898*J898)</f>
        <v/>
      </c>
      <c r="P898" s="95" t="str">
        <f t="shared" ref="P898:P903" si="542">IF(F898=0,"",O898*M898)</f>
        <v/>
      </c>
      <c r="Q898" s="98" t="str">
        <f t="shared" ref="Q898:Q903" si="543">IF(F898=0,"",L898+P898)</f>
        <v/>
      </c>
      <c r="R898" s="99"/>
    </row>
    <row r="899" spans="1:18" x14ac:dyDescent="0.3">
      <c r="A899" s="86" t="str">
        <f>IF(TRIM(H899)&lt;&gt;"",COUNTA(H$9:$H899)&amp;"","")</f>
        <v>649</v>
      </c>
      <c r="B899" s="87" t="s">
        <v>234</v>
      </c>
      <c r="C899" s="87" t="s">
        <v>248</v>
      </c>
      <c r="D899" s="88"/>
      <c r="E899" s="100" t="s">
        <v>254</v>
      </c>
      <c r="F899" s="90">
        <v>361</v>
      </c>
      <c r="G899" s="65">
        <f>1768*5.5/27</f>
        <v>360.14814814814815</v>
      </c>
      <c r="H899" s="91" t="s">
        <v>212</v>
      </c>
      <c r="I899" s="92">
        <f t="shared" si="535"/>
        <v>0</v>
      </c>
      <c r="J899" s="93">
        <f t="shared" si="536"/>
        <v>361</v>
      </c>
      <c r="K899" s="94">
        <v>0</v>
      </c>
      <c r="L899" s="95">
        <f t="shared" si="538"/>
        <v>0</v>
      </c>
      <c r="M899" s="96">
        <f t="shared" si="539"/>
        <v>75</v>
      </c>
      <c r="N899" s="97">
        <v>0.875</v>
      </c>
      <c r="O899" s="97">
        <f t="shared" si="541"/>
        <v>315.875</v>
      </c>
      <c r="P899" s="95">
        <f t="shared" si="542"/>
        <v>23690.625</v>
      </c>
      <c r="Q899" s="98">
        <f t="shared" si="543"/>
        <v>23690.625</v>
      </c>
      <c r="R899" s="119"/>
    </row>
    <row r="900" spans="1:18" x14ac:dyDescent="0.3">
      <c r="A900" s="86" t="str">
        <f>IF(TRIM(H900)&lt;&gt;"",COUNTA(H$9:$H900)&amp;"","")</f>
        <v>650</v>
      </c>
      <c r="B900" s="87" t="s">
        <v>250</v>
      </c>
      <c r="C900" s="87" t="s">
        <v>261</v>
      </c>
      <c r="D900" s="88"/>
      <c r="E900" s="100" t="s">
        <v>262</v>
      </c>
      <c r="F900" s="90">
        <v>6.3</v>
      </c>
      <c r="G900" s="65">
        <f>26*6.5/27</f>
        <v>6.2592592592592595</v>
      </c>
      <c r="H900" s="91" t="s">
        <v>212</v>
      </c>
      <c r="I900" s="92">
        <f t="shared" ref="I900:I901" si="544">IF(F900=0,"",0)</f>
        <v>0</v>
      </c>
      <c r="J900" s="93">
        <f t="shared" ref="J900:J901" si="545">IF(F900=0,"",F900+(F900*I900))</f>
        <v>6.3</v>
      </c>
      <c r="K900" s="94">
        <v>0</v>
      </c>
      <c r="L900" s="95">
        <f t="shared" ref="L900:L901" si="546">IF(F900=0,"",K900*J900)</f>
        <v>0</v>
      </c>
      <c r="M900" s="96">
        <f t="shared" ref="M900:M901" si="547">IF(F900=0,"",M$7)</f>
        <v>75</v>
      </c>
      <c r="N900" s="97">
        <v>0.875</v>
      </c>
      <c r="O900" s="97">
        <f t="shared" ref="O900:O901" si="548">IF(F900=0,"",N900*J900)</f>
        <v>5.5125000000000002</v>
      </c>
      <c r="P900" s="95">
        <f t="shared" ref="P900:P901" si="549">IF(F900=0,"",O900*M900)</f>
        <v>413.4375</v>
      </c>
      <c r="Q900" s="98">
        <f t="shared" ref="Q900:Q901" si="550">IF(F900=0,"",L900+P900)</f>
        <v>413.4375</v>
      </c>
      <c r="R900" s="119"/>
    </row>
    <row r="901" spans="1:18" x14ac:dyDescent="0.3">
      <c r="A901" s="86" t="str">
        <f>IF(TRIM(H901)&lt;&gt;"",COUNTA(H$9:$H901)&amp;"","")</f>
        <v>651</v>
      </c>
      <c r="B901" s="87" t="s">
        <v>250</v>
      </c>
      <c r="C901" s="87" t="s">
        <v>261</v>
      </c>
      <c r="D901" s="88"/>
      <c r="E901" s="89" t="s">
        <v>263</v>
      </c>
      <c r="F901" s="90">
        <v>2.5</v>
      </c>
      <c r="G901" s="65">
        <f>12.2*5.5/27</f>
        <v>2.4851851851851849</v>
      </c>
      <c r="H901" s="91" t="s">
        <v>212</v>
      </c>
      <c r="I901" s="92">
        <f t="shared" si="544"/>
        <v>0</v>
      </c>
      <c r="J901" s="93">
        <f t="shared" si="545"/>
        <v>2.5</v>
      </c>
      <c r="K901" s="94">
        <v>0</v>
      </c>
      <c r="L901" s="95">
        <f t="shared" si="546"/>
        <v>0</v>
      </c>
      <c r="M901" s="96">
        <f t="shared" si="547"/>
        <v>75</v>
      </c>
      <c r="N901" s="97">
        <v>0.875</v>
      </c>
      <c r="O901" s="97">
        <f t="shared" si="548"/>
        <v>2.1875</v>
      </c>
      <c r="P901" s="95">
        <f t="shared" si="549"/>
        <v>164.0625</v>
      </c>
      <c r="Q901" s="98">
        <f t="shared" si="550"/>
        <v>164.0625</v>
      </c>
      <c r="R901" s="119"/>
    </row>
    <row r="902" spans="1:18" x14ac:dyDescent="0.3">
      <c r="A902" s="86" t="str">
        <f>IF(TRIM(H902)&lt;&gt;"",COUNTA(H$9:$H902)&amp;"","")</f>
        <v>652</v>
      </c>
      <c r="B902" s="87" t="s">
        <v>250</v>
      </c>
      <c r="C902" s="87" t="s">
        <v>261</v>
      </c>
      <c r="D902" s="88"/>
      <c r="E902" s="89" t="s">
        <v>211</v>
      </c>
      <c r="F902" s="90">
        <v>1235</v>
      </c>
      <c r="G902" s="65">
        <f>6.5*20.5+5.5*200</f>
        <v>1233.25</v>
      </c>
      <c r="H902" s="91" t="s">
        <v>184</v>
      </c>
      <c r="I902" s="92">
        <f t="shared" ref="I902" si="551">IF(F902=0,"",0)</f>
        <v>0</v>
      </c>
      <c r="J902" s="93">
        <f t="shared" ref="J902" si="552">IF(F902=0,"",F902+(F902*I902))</f>
        <v>1235</v>
      </c>
      <c r="K902" s="94">
        <v>3.9</v>
      </c>
      <c r="L902" s="95">
        <f t="shared" ref="L902" si="553">IF(F902=0,"",K902*J902)</f>
        <v>4816.5</v>
      </c>
      <c r="M902" s="96">
        <f t="shared" ref="M902" si="554">IF(F902=0,"",M$7)</f>
        <v>75</v>
      </c>
      <c r="N902" s="97">
        <v>6.5000000000000002E-2</v>
      </c>
      <c r="O902" s="97">
        <f t="shared" ref="O902" si="555">IF(F902=0,"",N902*J902)</f>
        <v>80.275000000000006</v>
      </c>
      <c r="P902" s="95">
        <f t="shared" ref="P902" si="556">IF(F902=0,"",O902*M902)</f>
        <v>6020.625</v>
      </c>
      <c r="Q902" s="98">
        <f t="shared" ref="Q902" si="557">IF(F902=0,"",L902+P902)</f>
        <v>10837.125</v>
      </c>
      <c r="R902" s="119"/>
    </row>
    <row r="903" spans="1:18" ht="15" thickBot="1" x14ac:dyDescent="0.35">
      <c r="A903" s="86" t="str">
        <f>IF(TRIM(H903)&lt;&gt;"",COUNTA(H$9:$H903)&amp;"","")</f>
        <v/>
      </c>
      <c r="B903" s="101"/>
      <c r="C903" s="101"/>
      <c r="D903" s="88"/>
      <c r="E903" s="102"/>
      <c r="F903" s="90"/>
      <c r="H903" s="91"/>
      <c r="I903" s="92" t="str">
        <f t="shared" si="535"/>
        <v/>
      </c>
      <c r="J903" s="93" t="str">
        <f t="shared" si="536"/>
        <v/>
      </c>
      <c r="K903" s="94" t="str">
        <f t="shared" si="537"/>
        <v/>
      </c>
      <c r="L903" s="95" t="str">
        <f t="shared" si="538"/>
        <v/>
      </c>
      <c r="M903" s="96" t="str">
        <f t="shared" si="539"/>
        <v/>
      </c>
      <c r="N903" s="97" t="str">
        <f t="shared" si="540"/>
        <v/>
      </c>
      <c r="O903" s="97" t="str">
        <f t="shared" si="541"/>
        <v/>
      </c>
      <c r="P903" s="95" t="str">
        <f t="shared" si="542"/>
        <v/>
      </c>
      <c r="Q903" s="98" t="str">
        <f t="shared" si="543"/>
        <v/>
      </c>
      <c r="R903" s="119"/>
    </row>
    <row r="904" spans="1:18" s="114" customFormat="1" ht="16.2" thickBot="1" x14ac:dyDescent="0.35">
      <c r="A904" s="86" t="str">
        <f>IF(TRIM(H904)&lt;&gt;"",COUNTA(H$9:$H904)&amp;"","")</f>
        <v/>
      </c>
      <c r="B904" s="121"/>
      <c r="C904" s="121"/>
      <c r="D904" s="122"/>
      <c r="E904" s="105"/>
      <c r="F904" s="90"/>
      <c r="H904" s="123"/>
      <c r="I904" s="108" t="s">
        <v>12</v>
      </c>
      <c r="J904" s="109"/>
      <c r="K904" s="110">
        <f>SUM(L$897:L$903)</f>
        <v>4816.5</v>
      </c>
      <c r="L904" s="190" t="s">
        <v>13</v>
      </c>
      <c r="M904" s="191"/>
      <c r="N904" s="111">
        <f>SUM(P$897:P$903)</f>
        <v>30288.75</v>
      </c>
      <c r="O904" s="190" t="s">
        <v>42</v>
      </c>
      <c r="P904" s="191"/>
      <c r="Q904" s="112">
        <f>SUM(O$897:O$903)</f>
        <v>403.85</v>
      </c>
      <c r="R904" s="113">
        <f>SUM(Q$897:Q$903)</f>
        <v>35105.25</v>
      </c>
    </row>
    <row r="905" spans="1:18" ht="15" thickBot="1" x14ac:dyDescent="0.35">
      <c r="A905" s="86" t="str">
        <f>IF(TRIM(H905)&lt;&gt;"",COUNTA(H$9:$H905)&amp;"","")</f>
        <v/>
      </c>
      <c r="B905" s="101"/>
      <c r="C905" s="101"/>
      <c r="D905" s="126"/>
      <c r="E905" s="102"/>
      <c r="F905" s="90"/>
      <c r="H905" s="91"/>
      <c r="I905" s="92" t="str">
        <f>IF(F905=0,"",0)</f>
        <v/>
      </c>
      <c r="J905" s="93" t="str">
        <f t="shared" ref="J905" si="558">IF(F905=0,"",F905+(F905*I905))</f>
        <v/>
      </c>
      <c r="K905" s="94" t="str">
        <f>IF(F905=0,"",0)</f>
        <v/>
      </c>
      <c r="L905" s="95" t="str">
        <f>IF(F905=0,"",K905*J905)</f>
        <v/>
      </c>
      <c r="M905" s="96" t="str">
        <f>IF(F905=0,"",M$7)</f>
        <v/>
      </c>
      <c r="N905" s="97" t="str">
        <f>IF(F905=0,"",0)</f>
        <v/>
      </c>
      <c r="O905" s="97" t="str">
        <f>IF(F905=0,"",N905*J905)</f>
        <v/>
      </c>
      <c r="P905" s="95" t="str">
        <f>IF(F905=0,"",O905*M905)</f>
        <v/>
      </c>
      <c r="Q905" s="98" t="str">
        <f>IF(F905=0,"",L905+P905)</f>
        <v/>
      </c>
      <c r="R905" s="99"/>
    </row>
    <row r="906" spans="1:18" s="114" customFormat="1" ht="16.2" thickBot="1" x14ac:dyDescent="0.35">
      <c r="A906" s="86" t="str">
        <f>IF(TRIM(H906)&lt;&gt;"",COUNTA(H$9:$H906)&amp;"","")</f>
        <v/>
      </c>
      <c r="B906" s="103"/>
      <c r="C906" s="103"/>
      <c r="D906" s="104"/>
      <c r="E906" s="105"/>
      <c r="F906" s="106"/>
      <c r="H906" s="107"/>
      <c r="I906" s="238" t="s">
        <v>207</v>
      </c>
      <c r="J906" s="239"/>
      <c r="K906" s="127">
        <f>SUM(L$8:L$905)</f>
        <v>745288.98666548333</v>
      </c>
      <c r="L906" s="233" t="s">
        <v>208</v>
      </c>
      <c r="M906" s="234"/>
      <c r="N906" s="128">
        <f>SUM(P$8:P$905)</f>
        <v>977097.22727716714</v>
      </c>
      <c r="O906" s="233" t="s">
        <v>209</v>
      </c>
      <c r="P906" s="234"/>
      <c r="Q906" s="129">
        <f>SUM(O$8:O$905)</f>
        <v>9941.2963636955446</v>
      </c>
      <c r="R906" s="130">
        <f>SUM(R$8:R$905)</f>
        <v>1722386.2139426507</v>
      </c>
    </row>
    <row r="907" spans="1:18" ht="15" thickBot="1" x14ac:dyDescent="0.35">
      <c r="A907" s="86" t="str">
        <f>IF(TRIM(H907)&lt;&gt;"",COUNTA(H$9:$H907)&amp;"","")</f>
        <v/>
      </c>
      <c r="B907" s="87"/>
      <c r="C907" s="87"/>
      <c r="D907" s="117"/>
      <c r="E907" s="89"/>
      <c r="F907" s="90"/>
      <c r="H907" s="91"/>
      <c r="I907" s="92" t="str">
        <f>IF(F907=0,"",0)</f>
        <v/>
      </c>
      <c r="J907" s="93" t="str">
        <f t="shared" ref="J907" si="559">IF(F907=0,"",F907+(F907*I907))</f>
        <v/>
      </c>
      <c r="K907" s="94" t="str">
        <f>IF(F907=0,"",0)</f>
        <v/>
      </c>
      <c r="L907" s="95" t="str">
        <f>IF(F907=0,"",K907*J907)</f>
        <v/>
      </c>
      <c r="M907" s="96" t="str">
        <f>IF(F907=0,"",M$7)</f>
        <v/>
      </c>
      <c r="N907" s="97" t="str">
        <f>IF(F907=0,"",0)</f>
        <v/>
      </c>
      <c r="O907" s="97" t="str">
        <f>IF(F907=0,"",N907*J907)</f>
        <v/>
      </c>
      <c r="P907" s="95" t="str">
        <f>IF(F907=0,"",O907*M907)</f>
        <v/>
      </c>
      <c r="Q907" s="98" t="str">
        <f>IF(F907=0,"",L907+P907)</f>
        <v/>
      </c>
      <c r="R907" s="99"/>
    </row>
    <row r="908" spans="1:18" ht="20.100000000000001" customHeight="1" thickBot="1" x14ac:dyDescent="0.35">
      <c r="A908" s="235" t="s">
        <v>26</v>
      </c>
      <c r="B908" s="236"/>
      <c r="C908" s="236"/>
      <c r="D908" s="236"/>
      <c r="E908" s="236"/>
      <c r="F908" s="236"/>
      <c r="G908" s="236"/>
      <c r="H908" s="236"/>
      <c r="I908" s="236"/>
      <c r="J908" s="236"/>
      <c r="K908" s="236"/>
      <c r="L908" s="236"/>
      <c r="M908" s="236"/>
      <c r="N908" s="236"/>
      <c r="O908" s="236"/>
      <c r="P908" s="236"/>
      <c r="Q908" s="237"/>
      <c r="R908" s="131">
        <f>SUM(L$9:$L$907)</f>
        <v>745288.98666548333</v>
      </c>
    </row>
    <row r="909" spans="1:18" ht="20.100000000000001" customHeight="1" thickBot="1" x14ac:dyDescent="0.35">
      <c r="A909" s="235" t="s">
        <v>27</v>
      </c>
      <c r="B909" s="236"/>
      <c r="C909" s="236"/>
      <c r="D909" s="236"/>
      <c r="E909" s="236"/>
      <c r="F909" s="236"/>
      <c r="G909" s="236"/>
      <c r="H909" s="236"/>
      <c r="I909" s="236"/>
      <c r="J909" s="236"/>
      <c r="K909" s="236"/>
      <c r="L909" s="236"/>
      <c r="M909" s="236"/>
      <c r="N909" s="236"/>
      <c r="O909" s="236"/>
      <c r="P909" s="236"/>
      <c r="Q909" s="237"/>
      <c r="R909" s="131">
        <f>SUM(P$9:P$907)</f>
        <v>977097.22727716714</v>
      </c>
    </row>
    <row r="910" spans="1:18" ht="20.100000000000001" customHeight="1" thickBot="1" x14ac:dyDescent="0.35">
      <c r="A910" s="235" t="s">
        <v>203</v>
      </c>
      <c r="B910" s="236"/>
      <c r="C910" s="236"/>
      <c r="D910" s="236"/>
      <c r="E910" s="236"/>
      <c r="F910" s="236"/>
      <c r="G910" s="236"/>
      <c r="H910" s="236"/>
      <c r="I910" s="236"/>
      <c r="J910" s="236"/>
      <c r="K910" s="236"/>
      <c r="L910" s="236"/>
      <c r="M910" s="236"/>
      <c r="N910" s="236"/>
      <c r="O910" s="236"/>
      <c r="P910" s="236"/>
      <c r="Q910" s="237"/>
      <c r="R910" s="132">
        <f>SUM(O$9:O$907)</f>
        <v>9941.2963636955446</v>
      </c>
    </row>
    <row r="911" spans="1:18" ht="17.399999999999999" x14ac:dyDescent="0.3">
      <c r="A911" s="133"/>
      <c r="B911" s="134" t="s">
        <v>152</v>
      </c>
      <c r="C911" s="135"/>
      <c r="D911" s="136"/>
      <c r="E911" s="134"/>
      <c r="F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8"/>
    </row>
    <row r="912" spans="1:18" s="140" customFormat="1" ht="18" customHeight="1" x14ac:dyDescent="0.3">
      <c r="A912" s="139">
        <v>1</v>
      </c>
      <c r="B912" s="240" t="s">
        <v>226</v>
      </c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0"/>
      <c r="N912" s="240"/>
      <c r="O912" s="240"/>
      <c r="P912" s="240"/>
      <c r="Q912" s="240"/>
      <c r="R912" s="240"/>
    </row>
    <row r="913" spans="1:18" s="140" customFormat="1" ht="18" customHeight="1" x14ac:dyDescent="0.3">
      <c r="A913" s="139">
        <v>2</v>
      </c>
      <c r="B913" s="240" t="s">
        <v>227</v>
      </c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0"/>
      <c r="N913" s="240"/>
      <c r="O913" s="240"/>
      <c r="P913" s="240"/>
      <c r="Q913" s="240"/>
      <c r="R913" s="240"/>
    </row>
    <row r="914" spans="1:18" s="140" customFormat="1" ht="18" customHeight="1" x14ac:dyDescent="0.3">
      <c r="A914" s="139">
        <v>3</v>
      </c>
      <c r="B914" s="240" t="s">
        <v>154</v>
      </c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0"/>
      <c r="N914" s="240"/>
      <c r="O914" s="240"/>
      <c r="P914" s="240"/>
      <c r="Q914" s="240"/>
      <c r="R914" s="240"/>
    </row>
    <row r="915" spans="1:18" s="140" customFormat="1" ht="18" customHeight="1" x14ac:dyDescent="0.3">
      <c r="A915" s="139">
        <v>4</v>
      </c>
      <c r="B915" s="240" t="s">
        <v>228</v>
      </c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0"/>
      <c r="N915" s="240"/>
      <c r="O915" s="240"/>
      <c r="P915" s="240"/>
      <c r="Q915" s="240"/>
      <c r="R915" s="240"/>
    </row>
    <row r="916" spans="1:18" ht="21" thickBot="1" x14ac:dyDescent="0.35">
      <c r="A916" s="141"/>
      <c r="B916" s="142"/>
      <c r="C916" s="142"/>
      <c r="D916" s="143"/>
      <c r="E916" s="231"/>
      <c r="F916" s="231"/>
      <c r="G916" s="231"/>
      <c r="H916" s="231"/>
      <c r="I916" s="231"/>
      <c r="J916" s="231"/>
      <c r="K916" s="231"/>
      <c r="L916" s="231"/>
      <c r="M916" s="231"/>
      <c r="N916" s="231"/>
      <c r="O916" s="231"/>
      <c r="P916" s="231"/>
      <c r="Q916" s="231"/>
      <c r="R916" s="232"/>
    </row>
  </sheetData>
  <mergeCells count="103">
    <mergeCell ref="B301:B312"/>
    <mergeCell ref="C301:C312"/>
    <mergeCell ref="D301:D312"/>
    <mergeCell ref="B318:B328"/>
    <mergeCell ref="C318:C328"/>
    <mergeCell ref="D318:D328"/>
    <mergeCell ref="C277:C281"/>
    <mergeCell ref="D277:D281"/>
    <mergeCell ref="B277:B281"/>
    <mergeCell ref="C288:C289"/>
    <mergeCell ref="D288:D289"/>
    <mergeCell ref="B288:B289"/>
    <mergeCell ref="C141:C144"/>
    <mergeCell ref="P64:P97"/>
    <mergeCell ref="O171:P171"/>
    <mergeCell ref="B174:B255"/>
    <mergeCell ref="C174:C255"/>
    <mergeCell ref="D174:D255"/>
    <mergeCell ref="C269:C271"/>
    <mergeCell ref="D269:D271"/>
    <mergeCell ref="B269:B271"/>
    <mergeCell ref="D141:D144"/>
    <mergeCell ref="B141:B144"/>
    <mergeCell ref="B137:B139"/>
    <mergeCell ref="B157:B166"/>
    <mergeCell ref="C157:C166"/>
    <mergeCell ref="D157:D166"/>
    <mergeCell ref="O104:P104"/>
    <mergeCell ref="C64:C97"/>
    <mergeCell ref="B64:B97"/>
    <mergeCell ref="D64:D97"/>
    <mergeCell ref="F64:F97"/>
    <mergeCell ref="H64:H97"/>
    <mergeCell ref="I64:I97"/>
    <mergeCell ref="J64:J97"/>
    <mergeCell ref="K64:K97"/>
    <mergeCell ref="C137:C139"/>
    <mergeCell ref="D137:D139"/>
    <mergeCell ref="L346:M346"/>
    <mergeCell ref="O21:P21"/>
    <mergeCell ref="L21:M21"/>
    <mergeCell ref="L171:M171"/>
    <mergeCell ref="O346:P346"/>
    <mergeCell ref="O56:P56"/>
    <mergeCell ref="O41:P41"/>
    <mergeCell ref="O896:P896"/>
    <mergeCell ref="L56:M56"/>
    <mergeCell ref="L41:M41"/>
    <mergeCell ref="L113:M113"/>
    <mergeCell ref="O113:P113"/>
    <mergeCell ref="L104:M104"/>
    <mergeCell ref="L388:M388"/>
    <mergeCell ref="O388:P388"/>
    <mergeCell ref="L369:M369"/>
    <mergeCell ref="O369:P369"/>
    <mergeCell ref="L61:M61"/>
    <mergeCell ref="O61:P61"/>
    <mergeCell ref="L294:M294"/>
    <mergeCell ref="O294:P294"/>
    <mergeCell ref="L134:M134"/>
    <mergeCell ref="O134:P134"/>
    <mergeCell ref="E916:R916"/>
    <mergeCell ref="L906:M906"/>
    <mergeCell ref="O906:P906"/>
    <mergeCell ref="O599:P599"/>
    <mergeCell ref="A908:Q908"/>
    <mergeCell ref="A909:Q909"/>
    <mergeCell ref="A910:Q910"/>
    <mergeCell ref="I906:J906"/>
    <mergeCell ref="B912:R912"/>
    <mergeCell ref="B913:R913"/>
    <mergeCell ref="B914:R914"/>
    <mergeCell ref="B915:R915"/>
    <mergeCell ref="L904:M904"/>
    <mergeCell ref="O904:P904"/>
    <mergeCell ref="L896:M896"/>
    <mergeCell ref="L724:M724"/>
    <mergeCell ref="O724:P724"/>
    <mergeCell ref="L599:M599"/>
    <mergeCell ref="L337:M337"/>
    <mergeCell ref="L64:L97"/>
    <mergeCell ref="M64:M97"/>
    <mergeCell ref="N64:N97"/>
    <mergeCell ref="O64:O97"/>
    <mergeCell ref="A1:D3"/>
    <mergeCell ref="A4:D5"/>
    <mergeCell ref="E3:M3"/>
    <mergeCell ref="P1:R1"/>
    <mergeCell ref="P2:R2"/>
    <mergeCell ref="P3:R3"/>
    <mergeCell ref="P4:R4"/>
    <mergeCell ref="N3:O3"/>
    <mergeCell ref="E4:M4"/>
    <mergeCell ref="P5:R5"/>
    <mergeCell ref="N5:O5"/>
    <mergeCell ref="F5:M5"/>
    <mergeCell ref="E2:M2"/>
    <mergeCell ref="N1:O1"/>
    <mergeCell ref="E1:M1"/>
    <mergeCell ref="N2:O2"/>
    <mergeCell ref="N4:O4"/>
    <mergeCell ref="O337:P337"/>
    <mergeCell ref="Q64:Q9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65CB-82DE-4C1C-A21D-BD59CA83FE57}">
  <sheetPr>
    <tabColor rgb="FFB9282E"/>
    <pageSetUpPr fitToPage="1"/>
  </sheetPr>
  <dimension ref="A1:R24"/>
  <sheetViews>
    <sheetView topLeftCell="A2" zoomScale="50" zoomScaleNormal="50" zoomScaleSheetLayoutView="85" workbookViewId="0">
      <selection activeCell="A8" sqref="A8:R8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28" t="str">
        <f>Estimate!E1</f>
        <v xml:space="preserve">GOLDFISH SWIM SCHOOL </v>
      </c>
      <c r="F1" s="229"/>
      <c r="G1" s="229"/>
      <c r="H1" s="229"/>
      <c r="I1" s="229"/>
      <c r="J1" s="229"/>
      <c r="K1" s="229"/>
      <c r="L1" s="229"/>
      <c r="M1" s="230"/>
      <c r="N1" s="265" t="s">
        <v>206</v>
      </c>
      <c r="O1" s="266"/>
      <c r="P1" s="267">
        <f>SUM(R$16+R$17)</f>
        <v>1393.75</v>
      </c>
      <c r="Q1" s="268"/>
      <c r="R1" s="269"/>
    </row>
    <row r="2" spans="1:18" ht="69.900000000000006" customHeight="1" thickBot="1" x14ac:dyDescent="0.35">
      <c r="A2" s="201"/>
      <c r="B2" s="202"/>
      <c r="C2" s="202"/>
      <c r="D2" s="203"/>
      <c r="E2" s="226" t="str">
        <f>Estimate!E2</f>
        <v>6350 JERICHO TURNPIKE COMMACK, NY 11725</v>
      </c>
      <c r="F2" s="227"/>
      <c r="G2" s="227"/>
      <c r="H2" s="227"/>
      <c r="I2" s="227"/>
      <c r="J2" s="227"/>
      <c r="K2" s="227"/>
      <c r="L2" s="227"/>
      <c r="M2" s="227"/>
      <c r="N2" s="219" t="s">
        <v>204</v>
      </c>
      <c r="O2" s="220"/>
      <c r="P2" s="216">
        <f>P$1*'Bid Recap &amp; Summary'!D$33</f>
        <v>139.375</v>
      </c>
      <c r="Q2" s="217"/>
      <c r="R2" s="218"/>
    </row>
    <row r="3" spans="1:18" ht="65.099999999999994" customHeight="1" thickBot="1" x14ac:dyDescent="0.35">
      <c r="A3" s="204"/>
      <c r="B3" s="205"/>
      <c r="C3" s="205"/>
      <c r="D3" s="206"/>
      <c r="E3" s="213" t="s">
        <v>950</v>
      </c>
      <c r="F3" s="214"/>
      <c r="G3" s="214"/>
      <c r="H3" s="214"/>
      <c r="I3" s="214"/>
      <c r="J3" s="214"/>
      <c r="K3" s="214"/>
      <c r="L3" s="214"/>
      <c r="M3" s="215"/>
      <c r="N3" s="219" t="s">
        <v>205</v>
      </c>
      <c r="O3" s="220"/>
      <c r="P3" s="216">
        <f>P$1*'Bid Recap &amp; Summary'!D$34</f>
        <v>139.375</v>
      </c>
      <c r="Q3" s="217"/>
      <c r="R3" s="218"/>
    </row>
    <row r="4" spans="1:18" ht="60" customHeight="1" thickBot="1" x14ac:dyDescent="0.35">
      <c r="A4" s="207"/>
      <c r="B4" s="208"/>
      <c r="C4" s="208"/>
      <c r="D4" s="209"/>
      <c r="E4" s="213" t="s">
        <v>225</v>
      </c>
      <c r="F4" s="214"/>
      <c r="G4" s="214"/>
      <c r="H4" s="214"/>
      <c r="I4" s="214"/>
      <c r="J4" s="214"/>
      <c r="K4" s="214"/>
      <c r="L4" s="214"/>
      <c r="M4" s="215"/>
      <c r="N4" s="221" t="s">
        <v>186</v>
      </c>
      <c r="O4" s="223"/>
      <c r="P4" s="216"/>
      <c r="Q4" s="217"/>
      <c r="R4" s="218"/>
    </row>
    <row r="5" spans="1:18" ht="60" customHeight="1" thickBot="1" x14ac:dyDescent="0.35">
      <c r="A5" s="210"/>
      <c r="B5" s="211"/>
      <c r="C5" s="211"/>
      <c r="D5" s="212"/>
      <c r="E5" s="166" t="s">
        <v>153</v>
      </c>
      <c r="F5" s="224">
        <f ca="1">TODAY()</f>
        <v>45569</v>
      </c>
      <c r="G5" s="224"/>
      <c r="H5" s="224"/>
      <c r="I5" s="224"/>
      <c r="J5" s="224"/>
      <c r="K5" s="224"/>
      <c r="L5" s="224"/>
      <c r="M5" s="225"/>
      <c r="N5" s="221" t="s">
        <v>951</v>
      </c>
      <c r="O5" s="223"/>
      <c r="P5" s="221">
        <f>SUM(P$1:R$4)</f>
        <v>1672.5</v>
      </c>
      <c r="Q5" s="222"/>
      <c r="R5" s="223"/>
    </row>
    <row r="6" spans="1:18" ht="49.8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ht="20.100000000000001" customHeight="1" x14ac:dyDescent="0.3">
      <c r="A8" s="295" t="str">
        <f>IF(TRIM(H8)&lt;&gt;"",COUNTA(H$8:$H8)&amp;"","")</f>
        <v/>
      </c>
      <c r="B8" s="296"/>
      <c r="C8" s="296"/>
      <c r="D8" s="297">
        <v>230000</v>
      </c>
      <c r="E8" s="297" t="s">
        <v>175</v>
      </c>
      <c r="F8" s="298"/>
      <c r="G8" s="299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300"/>
    </row>
    <row r="9" spans="1:18" ht="15.6" x14ac:dyDescent="0.3">
      <c r="A9" s="86" t="str">
        <f>IF(TRIM(H9)&lt;&gt;"",COUNTA(H$8:$H9)&amp;"","")</f>
        <v/>
      </c>
      <c r="B9" s="87"/>
      <c r="C9" s="87"/>
      <c r="D9" s="88"/>
      <c r="E9" s="175" t="s">
        <v>944</v>
      </c>
      <c r="F9" s="90"/>
      <c r="H9" s="91"/>
      <c r="I9" s="92" t="str">
        <f>IF(F9=0,"",0)</f>
        <v/>
      </c>
      <c r="J9" s="93" t="str">
        <f>IF(F9=0,"",F9+(F9*I9))</f>
        <v/>
      </c>
      <c r="K9" s="94" t="str">
        <f>IF(F9=0,"",0)</f>
        <v/>
      </c>
      <c r="L9" s="95" t="str">
        <f>IF(F9=0,"",K9*J9)</f>
        <v/>
      </c>
      <c r="M9" s="96" t="str">
        <f>IF(F9=0,"",M$7)</f>
        <v/>
      </c>
      <c r="N9" s="97" t="str">
        <f>IF(F9=0,"",0)</f>
        <v/>
      </c>
      <c r="O9" s="97" t="str">
        <f>IF(F9=0,"",N9*J9)</f>
        <v/>
      </c>
      <c r="P9" s="95" t="str">
        <f>IF(F9=0,"",O9*M9)</f>
        <v/>
      </c>
      <c r="Q9" s="98" t="str">
        <f>IF(F9=0,"",L9+P9)</f>
        <v/>
      </c>
      <c r="R9" s="119"/>
    </row>
    <row r="10" spans="1:18" ht="27.6" x14ac:dyDescent="0.3">
      <c r="A10" s="86" t="str">
        <f>IF(TRIM(H10)&lt;&gt;"",COUNTA(H$8:$H10)&amp;"","")</f>
        <v>1</v>
      </c>
      <c r="B10" s="87" t="s">
        <v>945</v>
      </c>
      <c r="C10" s="87" t="s">
        <v>945</v>
      </c>
      <c r="D10" s="88"/>
      <c r="E10" s="100" t="s">
        <v>946</v>
      </c>
      <c r="F10" s="90">
        <v>5</v>
      </c>
      <c r="H10" s="91" t="s">
        <v>239</v>
      </c>
      <c r="I10" s="92">
        <f t="shared" ref="I10" si="0">IF(F10=0,"",0)</f>
        <v>0</v>
      </c>
      <c r="J10" s="93">
        <f t="shared" ref="J10" si="1">IF(F10=0,"",F10+(F10*I10))</f>
        <v>5</v>
      </c>
      <c r="K10" s="94">
        <v>185</v>
      </c>
      <c r="L10" s="95">
        <f t="shared" ref="L10" si="2">IF(F10=0,"",K10*J10)</f>
        <v>925</v>
      </c>
      <c r="M10" s="96">
        <f>M7</f>
        <v>75</v>
      </c>
      <c r="N10" s="97">
        <v>1.25</v>
      </c>
      <c r="O10" s="97">
        <f t="shared" ref="O10" si="3">IF(F10=0,"",N10*J10)</f>
        <v>6.25</v>
      </c>
      <c r="P10" s="95">
        <f t="shared" ref="P10" si="4">IF(F10=0,"",O10*M10)</f>
        <v>468.75</v>
      </c>
      <c r="Q10" s="98">
        <f t="shared" ref="Q10" si="5">IF(F10=0,"",L10+P10)</f>
        <v>1393.75</v>
      </c>
      <c r="R10" s="119"/>
    </row>
    <row r="11" spans="1:18" ht="15" thickBot="1" x14ac:dyDescent="0.35">
      <c r="A11" s="86" t="str">
        <f>IF(TRIM(H11)&lt;&gt;"",COUNTA(H$8:$H11)&amp;"","")</f>
        <v/>
      </c>
      <c r="B11" s="101"/>
      <c r="C11" s="101"/>
      <c r="D11" s="88"/>
      <c r="E11" s="102"/>
      <c r="F11" s="90"/>
      <c r="H11" s="91"/>
      <c r="I11" s="92" t="str">
        <f t="shared" ref="I11" si="6">IF(F11=0,"",0)</f>
        <v/>
      </c>
      <c r="J11" s="93" t="str">
        <f t="shared" ref="J11" si="7">IF(F11=0,"",F11+(F11*I11))</f>
        <v/>
      </c>
      <c r="K11" s="94" t="str">
        <f t="shared" ref="K11" si="8">IF(F11=0,"",0)</f>
        <v/>
      </c>
      <c r="L11" s="95" t="str">
        <f t="shared" ref="L11" si="9">IF(F11=0,"",K11*J11)</f>
        <v/>
      </c>
      <c r="M11" s="96" t="str">
        <f t="shared" ref="M11" si="10">IF(F11=0,"",M$7)</f>
        <v/>
      </c>
      <c r="N11" s="97" t="str">
        <f t="shared" ref="N11" si="11">IF(F11=0,"",0)</f>
        <v/>
      </c>
      <c r="O11" s="97" t="str">
        <f t="shared" ref="O11" si="12">IF(F11=0,"",N11*J11)</f>
        <v/>
      </c>
      <c r="P11" s="95" t="str">
        <f t="shared" ref="P11" si="13">IF(F11=0,"",O11*M11)</f>
        <v/>
      </c>
      <c r="Q11" s="98" t="str">
        <f t="shared" ref="Q11" si="14">IF(F11=0,"",L11+P11)</f>
        <v/>
      </c>
      <c r="R11" s="119"/>
    </row>
    <row r="12" spans="1:18" s="114" customFormat="1" ht="16.2" thickBot="1" x14ac:dyDescent="0.35">
      <c r="A12" s="86" t="str">
        <f>IF(TRIM(H12)&lt;&gt;"",COUNTA(H$8:$H12)&amp;"","")</f>
        <v/>
      </c>
      <c r="B12" s="121"/>
      <c r="C12" s="121"/>
      <c r="D12" s="122"/>
      <c r="E12" s="105"/>
      <c r="F12" s="90"/>
      <c r="H12" s="123"/>
      <c r="I12" s="108" t="s">
        <v>12</v>
      </c>
      <c r="J12" s="109"/>
      <c r="K12" s="110">
        <f>SUM(L$8:L$11)</f>
        <v>925</v>
      </c>
      <c r="L12" s="190" t="s">
        <v>13</v>
      </c>
      <c r="M12" s="191"/>
      <c r="N12" s="111">
        <f>SUM(P$8:P$11)</f>
        <v>468.75</v>
      </c>
      <c r="O12" s="190" t="s">
        <v>42</v>
      </c>
      <c r="P12" s="191"/>
      <c r="Q12" s="112">
        <f>SUM(O$8:O$11)</f>
        <v>6.25</v>
      </c>
      <c r="R12" s="113">
        <f>SUM(Q$8:Q$11)</f>
        <v>1393.75</v>
      </c>
    </row>
    <row r="13" spans="1:18" ht="15" thickBot="1" x14ac:dyDescent="0.35">
      <c r="A13" s="86" t="str">
        <f>IF(TRIM(H13)&lt;&gt;"",COUNTA(H$8:$H13)&amp;"","")</f>
        <v/>
      </c>
      <c r="B13" s="101"/>
      <c r="C13" s="101"/>
      <c r="D13" s="126"/>
      <c r="E13" s="102"/>
      <c r="F13" s="90"/>
      <c r="H13" s="91"/>
      <c r="I13" s="92" t="str">
        <f>IF(F13=0,"",0)</f>
        <v/>
      </c>
      <c r="J13" s="93" t="str">
        <f t="shared" ref="J13" si="15">IF(F13=0,"",F13+(F13*I13))</f>
        <v/>
      </c>
      <c r="K13" s="94" t="str">
        <f>IF(F13=0,"",0)</f>
        <v/>
      </c>
      <c r="L13" s="95" t="str">
        <f>IF(F13=0,"",K13*J13)</f>
        <v/>
      </c>
      <c r="M13" s="96" t="str">
        <f>IF(F13=0,"",M$7)</f>
        <v/>
      </c>
      <c r="N13" s="97" t="str">
        <f>IF(F13=0,"",0)</f>
        <v/>
      </c>
      <c r="O13" s="97" t="str">
        <f>IF(F13=0,"",N13*J13)</f>
        <v/>
      </c>
      <c r="P13" s="95" t="str">
        <f>IF(F13=0,"",O13*M13)</f>
        <v/>
      </c>
      <c r="Q13" s="98" t="str">
        <f>IF(F13=0,"",L13+P13)</f>
        <v/>
      </c>
      <c r="R13" s="99"/>
    </row>
    <row r="14" spans="1:18" s="114" customFormat="1" ht="16.2" thickBot="1" x14ac:dyDescent="0.35">
      <c r="A14" s="86" t="str">
        <f>IF(TRIM(H14)&lt;&gt;"",COUNTA(H$8:$H14)&amp;"","")</f>
        <v/>
      </c>
      <c r="B14" s="103"/>
      <c r="C14" s="103"/>
      <c r="D14" s="104"/>
      <c r="E14" s="105"/>
      <c r="F14" s="106"/>
      <c r="H14" s="107"/>
      <c r="I14" s="216" t="s">
        <v>207</v>
      </c>
      <c r="J14" s="218"/>
      <c r="K14" s="165">
        <f>SUM(L$8:L$13)</f>
        <v>925</v>
      </c>
      <c r="L14" s="270" t="s">
        <v>208</v>
      </c>
      <c r="M14" s="271"/>
      <c r="N14" s="176">
        <f>SUM(P$8:P$13)</f>
        <v>468.75</v>
      </c>
      <c r="O14" s="270" t="s">
        <v>209</v>
      </c>
      <c r="P14" s="271"/>
      <c r="Q14" s="176">
        <f>SUM(O$8:O$13)</f>
        <v>6.25</v>
      </c>
      <c r="R14" s="176">
        <f>SUM(R$8:R$13)</f>
        <v>1393.75</v>
      </c>
    </row>
    <row r="15" spans="1:18" ht="15" thickBot="1" x14ac:dyDescent="0.35">
      <c r="A15" s="86" t="str">
        <f>IF(TRIM(H15)&lt;&gt;"",COUNTA(H$8:$H15)&amp;"","")</f>
        <v/>
      </c>
      <c r="B15" s="87"/>
      <c r="C15" s="87"/>
      <c r="D15" s="117"/>
      <c r="E15" s="89"/>
      <c r="F15" s="90"/>
      <c r="H15" s="91"/>
      <c r="I15" s="92" t="str">
        <f>IF(F15=0,"",0)</f>
        <v/>
      </c>
      <c r="J15" s="93" t="str">
        <f t="shared" ref="J15" si="16">IF(F15=0,"",F15+(F15*I15))</f>
        <v/>
      </c>
      <c r="K15" s="94" t="str">
        <f>IF(F15=0,"",0)</f>
        <v/>
      </c>
      <c r="L15" s="95" t="str">
        <f>IF(F15=0,"",K15*J15)</f>
        <v/>
      </c>
      <c r="M15" s="96" t="str">
        <f>IF(F15=0,"",M$7)</f>
        <v/>
      </c>
      <c r="N15" s="97" t="str">
        <f>IF(F15=0,"",0)</f>
        <v/>
      </c>
      <c r="O15" s="97" t="str">
        <f>IF(F15=0,"",N15*J15)</f>
        <v/>
      </c>
      <c r="P15" s="95" t="str">
        <f>IF(F15=0,"",O15*M15)</f>
        <v/>
      </c>
      <c r="Q15" s="98" t="str">
        <f>IF(F15=0,"",L15+P15)</f>
        <v/>
      </c>
      <c r="R15" s="99"/>
    </row>
    <row r="16" spans="1:18" ht="20.100000000000001" customHeight="1" thickBot="1" x14ac:dyDescent="0.35">
      <c r="A16" s="235" t="s">
        <v>26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131">
        <f>SUM(L$8:$L$15)</f>
        <v>925</v>
      </c>
    </row>
    <row r="17" spans="1:18" ht="20.100000000000001" customHeight="1" thickBot="1" x14ac:dyDescent="0.35">
      <c r="A17" s="235" t="s">
        <v>27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131">
        <f>SUM(P$8:P$15)</f>
        <v>468.75</v>
      </c>
    </row>
    <row r="18" spans="1:18" ht="20.100000000000001" customHeight="1" thickBot="1" x14ac:dyDescent="0.35">
      <c r="A18" s="235" t="s">
        <v>203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132">
        <f>SUM(O$8:O$15)</f>
        <v>6.25</v>
      </c>
    </row>
    <row r="19" spans="1:18" ht="17.399999999999999" x14ac:dyDescent="0.3">
      <c r="A19" s="133"/>
      <c r="B19" s="134" t="s">
        <v>152</v>
      </c>
      <c r="C19" s="135"/>
      <c r="D19" s="136"/>
      <c r="E19" s="134"/>
      <c r="F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  <row r="20" spans="1:18" s="140" customFormat="1" ht="18" customHeight="1" x14ac:dyDescent="0.3">
      <c r="A20" s="139">
        <v>1</v>
      </c>
      <c r="B20" s="240" t="s">
        <v>226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</row>
    <row r="21" spans="1:18" s="140" customFormat="1" ht="18" customHeight="1" x14ac:dyDescent="0.3">
      <c r="A21" s="139">
        <v>2</v>
      </c>
      <c r="B21" s="240" t="s">
        <v>227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1:18" s="140" customFormat="1" ht="18" customHeight="1" x14ac:dyDescent="0.3">
      <c r="A22" s="139">
        <v>3</v>
      </c>
      <c r="B22" s="240" t="s">
        <v>154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1:18" s="140" customFormat="1" ht="18" customHeight="1" x14ac:dyDescent="0.3">
      <c r="A23" s="139">
        <v>4</v>
      </c>
      <c r="B23" s="240" t="s">
        <v>228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1:18" ht="21" thickBot="1" x14ac:dyDescent="0.35">
      <c r="A24" s="141"/>
      <c r="B24" s="142"/>
      <c r="C24" s="142"/>
      <c r="D24" s="143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2"/>
    </row>
  </sheetData>
  <mergeCells count="30">
    <mergeCell ref="E24:R24"/>
    <mergeCell ref="A17:Q17"/>
    <mergeCell ref="A18:Q18"/>
    <mergeCell ref="B20:R20"/>
    <mergeCell ref="B21:R21"/>
    <mergeCell ref="B22:R22"/>
    <mergeCell ref="B23:R23"/>
    <mergeCell ref="I14:J14"/>
    <mergeCell ref="L14:M14"/>
    <mergeCell ref="O14:P14"/>
    <mergeCell ref="A16:Q16"/>
    <mergeCell ref="L12:M12"/>
    <mergeCell ref="O12:P12"/>
    <mergeCell ref="A4:D5"/>
    <mergeCell ref="E4:M4"/>
    <mergeCell ref="N4:O4"/>
    <mergeCell ref="P4:R4"/>
    <mergeCell ref="F5:M5"/>
    <mergeCell ref="N5:O5"/>
    <mergeCell ref="P5:R5"/>
    <mergeCell ref="A1:D3"/>
    <mergeCell ref="E1:M1"/>
    <mergeCell ref="N1:O1"/>
    <mergeCell ref="P1:R1"/>
    <mergeCell ref="E2:M2"/>
    <mergeCell ref="N2:O2"/>
    <mergeCell ref="P2:R2"/>
    <mergeCell ref="E3:M3"/>
    <mergeCell ref="N3:O3"/>
    <mergeCell ref="P3:R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B3A3-10FA-4ED3-89E0-6E3EC5A1AAAC}">
  <sheetPr>
    <tabColor rgb="FFB9282E"/>
    <pageSetUpPr fitToPage="1"/>
  </sheetPr>
  <dimension ref="A1:R24"/>
  <sheetViews>
    <sheetView zoomScale="60" zoomScaleNormal="60" zoomScaleSheetLayoutView="85" workbookViewId="0">
      <selection activeCell="A8" sqref="A8:R8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28" t="s">
        <v>947</v>
      </c>
      <c r="F1" s="229"/>
      <c r="G1" s="229"/>
      <c r="H1" s="229"/>
      <c r="I1" s="229"/>
      <c r="J1" s="229"/>
      <c r="K1" s="229"/>
      <c r="L1" s="229"/>
      <c r="M1" s="230"/>
      <c r="N1" s="219" t="s">
        <v>206</v>
      </c>
      <c r="O1" s="220"/>
      <c r="P1" s="216">
        <f>SUM(R$16+R$17)</f>
        <v>252.5</v>
      </c>
      <c r="Q1" s="217"/>
      <c r="R1" s="218"/>
    </row>
    <row r="2" spans="1:18" ht="69.900000000000006" customHeight="1" thickBot="1" x14ac:dyDescent="0.35">
      <c r="A2" s="201"/>
      <c r="B2" s="202"/>
      <c r="C2" s="202"/>
      <c r="D2" s="203"/>
      <c r="E2" s="226" t="s">
        <v>948</v>
      </c>
      <c r="F2" s="227"/>
      <c r="G2" s="227"/>
      <c r="H2" s="227"/>
      <c r="I2" s="227"/>
      <c r="J2" s="227"/>
      <c r="K2" s="227"/>
      <c r="L2" s="227"/>
      <c r="M2" s="227"/>
      <c r="N2" s="219" t="s">
        <v>204</v>
      </c>
      <c r="O2" s="220"/>
      <c r="P2" s="216">
        <f>P$1*'Bid Recap &amp; Summary'!D$33</f>
        <v>25.25</v>
      </c>
      <c r="Q2" s="217"/>
      <c r="R2" s="218"/>
    </row>
    <row r="3" spans="1:18" ht="65.099999999999994" customHeight="1" thickBot="1" x14ac:dyDescent="0.35">
      <c r="A3" s="204"/>
      <c r="B3" s="205"/>
      <c r="C3" s="205"/>
      <c r="D3" s="206"/>
      <c r="E3" s="213" t="s">
        <v>952</v>
      </c>
      <c r="F3" s="214"/>
      <c r="G3" s="214"/>
      <c r="H3" s="214"/>
      <c r="I3" s="214"/>
      <c r="J3" s="214"/>
      <c r="K3" s="214"/>
      <c r="L3" s="214"/>
      <c r="M3" s="215"/>
      <c r="N3" s="219" t="s">
        <v>205</v>
      </c>
      <c r="O3" s="220"/>
      <c r="P3" s="216">
        <f>P$1*'Bid Recap &amp; Summary'!D$34</f>
        <v>25.25</v>
      </c>
      <c r="Q3" s="217"/>
      <c r="R3" s="218"/>
    </row>
    <row r="4" spans="1:18" ht="60" customHeight="1" thickBot="1" x14ac:dyDescent="0.35">
      <c r="A4" s="207"/>
      <c r="B4" s="208"/>
      <c r="C4" s="208"/>
      <c r="D4" s="209"/>
      <c r="E4" s="213" t="s">
        <v>225</v>
      </c>
      <c r="F4" s="214"/>
      <c r="G4" s="214"/>
      <c r="H4" s="214"/>
      <c r="I4" s="214"/>
      <c r="J4" s="214"/>
      <c r="K4" s="214"/>
      <c r="L4" s="214"/>
      <c r="M4" s="215"/>
      <c r="N4" s="221" t="s">
        <v>186</v>
      </c>
      <c r="O4" s="223"/>
      <c r="P4" s="216"/>
      <c r="Q4" s="217"/>
      <c r="R4" s="218"/>
    </row>
    <row r="5" spans="1:18" ht="60" customHeight="1" thickBot="1" x14ac:dyDescent="0.35">
      <c r="A5" s="210"/>
      <c r="B5" s="211"/>
      <c r="C5" s="211"/>
      <c r="D5" s="212"/>
      <c r="E5" s="166" t="s">
        <v>153</v>
      </c>
      <c r="F5" s="224">
        <f ca="1">TODAY()</f>
        <v>45569</v>
      </c>
      <c r="G5" s="224"/>
      <c r="H5" s="224"/>
      <c r="I5" s="224"/>
      <c r="J5" s="224"/>
      <c r="K5" s="224"/>
      <c r="L5" s="224"/>
      <c r="M5" s="225"/>
      <c r="N5" s="221" t="s">
        <v>954</v>
      </c>
      <c r="O5" s="223"/>
      <c r="P5" s="221">
        <f>SUM(P$1:R$4)</f>
        <v>303</v>
      </c>
      <c r="Q5" s="222"/>
      <c r="R5" s="223"/>
    </row>
    <row r="6" spans="1:18" ht="50.1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ht="20.100000000000001" customHeight="1" x14ac:dyDescent="0.3">
      <c r="A8" s="295" t="str">
        <f>IF(TRIM(H8)&lt;&gt;"",COUNTA(H$8:$H8)&amp;"","")</f>
        <v/>
      </c>
      <c r="B8" s="296"/>
      <c r="C8" s="296"/>
      <c r="D8" s="297">
        <v>320000</v>
      </c>
      <c r="E8" s="297" t="s">
        <v>147</v>
      </c>
      <c r="F8" s="298"/>
      <c r="G8" s="299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300"/>
    </row>
    <row r="9" spans="1:18" s="116" customFormat="1" ht="19.2" customHeight="1" x14ac:dyDescent="0.3">
      <c r="A9" s="86" t="str">
        <f>IF(TRIM(H9)&lt;&gt;"",COUNTA(H$8:$H9)&amp;"","")</f>
        <v/>
      </c>
      <c r="B9" s="115"/>
      <c r="C9" s="115"/>
      <c r="D9" s="88" t="s">
        <v>149</v>
      </c>
      <c r="E9" s="175" t="s">
        <v>148</v>
      </c>
      <c r="F9" s="90"/>
      <c r="H9" s="91"/>
      <c r="I9" s="92" t="str">
        <f t="shared" ref="I9:I11" si="0">IF(F9=0,"",0)</f>
        <v/>
      </c>
      <c r="J9" s="93" t="str">
        <f t="shared" ref="J9:J11" si="1">IF(F9=0,"",F9+(F9*I9))</f>
        <v/>
      </c>
      <c r="K9" s="94" t="str">
        <f t="shared" ref="K9:K11" si="2">IF(F9=0,"",0)</f>
        <v/>
      </c>
      <c r="L9" s="95" t="str">
        <f t="shared" ref="L9:L11" si="3">IF(F9=0,"",K9*J9)</f>
        <v/>
      </c>
      <c r="M9" s="96" t="str">
        <f t="shared" ref="M9:M11" si="4">IF(F9=0,"",M$7)</f>
        <v/>
      </c>
      <c r="N9" s="97" t="str">
        <f t="shared" ref="N9:N11" si="5">IF(F9=0,"",0)</f>
        <v/>
      </c>
      <c r="O9" s="97" t="str">
        <f t="shared" ref="O9:O11" si="6">IF(F9=0,"",N9*J9)</f>
        <v/>
      </c>
      <c r="P9" s="95" t="str">
        <f t="shared" ref="P9:P11" si="7">IF(F9=0,"",O9*M9)</f>
        <v/>
      </c>
      <c r="Q9" s="98" t="str">
        <f t="shared" ref="Q9:Q11" si="8">IF(F9=0,"",L9+P9)</f>
        <v/>
      </c>
      <c r="R9" s="99"/>
    </row>
    <row r="10" spans="1:18" x14ac:dyDescent="0.3">
      <c r="A10" s="86" t="str">
        <f>IF(TRIM(H10)&lt;&gt;"",COUNTA(H$8:$H10)&amp;"","")</f>
        <v>1</v>
      </c>
      <c r="B10" s="87" t="s">
        <v>354</v>
      </c>
      <c r="C10" s="87"/>
      <c r="D10" s="87" t="s">
        <v>377</v>
      </c>
      <c r="E10" s="100" t="s">
        <v>953</v>
      </c>
      <c r="F10" s="90">
        <v>1</v>
      </c>
      <c r="H10" s="91" t="s">
        <v>239</v>
      </c>
      <c r="I10" s="92">
        <f t="shared" si="0"/>
        <v>0</v>
      </c>
      <c r="J10" s="93">
        <f t="shared" si="1"/>
        <v>1</v>
      </c>
      <c r="K10" s="94">
        <v>140</v>
      </c>
      <c r="L10" s="95">
        <f t="shared" si="3"/>
        <v>140</v>
      </c>
      <c r="M10" s="96">
        <f t="shared" si="4"/>
        <v>75</v>
      </c>
      <c r="N10" s="97">
        <v>1.5</v>
      </c>
      <c r="O10" s="97">
        <f t="shared" si="6"/>
        <v>1.5</v>
      </c>
      <c r="P10" s="95">
        <f t="shared" si="7"/>
        <v>112.5</v>
      </c>
      <c r="Q10" s="98">
        <f t="shared" si="8"/>
        <v>252.5</v>
      </c>
      <c r="R10" s="119"/>
    </row>
    <row r="11" spans="1:18" ht="15" thickBot="1" x14ac:dyDescent="0.35">
      <c r="A11" s="86" t="str">
        <f>IF(TRIM(H11)&lt;&gt;"",COUNTA(H$8:$H11)&amp;"","")</f>
        <v/>
      </c>
      <c r="B11" s="101"/>
      <c r="C11" s="101"/>
      <c r="D11" s="88"/>
      <c r="E11" s="102"/>
      <c r="F11" s="90"/>
      <c r="H11" s="91"/>
      <c r="I11" s="92" t="str">
        <f t="shared" si="0"/>
        <v/>
      </c>
      <c r="J11" s="93" t="str">
        <f t="shared" si="1"/>
        <v/>
      </c>
      <c r="K11" s="94" t="str">
        <f t="shared" si="2"/>
        <v/>
      </c>
      <c r="L11" s="95" t="str">
        <f t="shared" si="3"/>
        <v/>
      </c>
      <c r="M11" s="96" t="str">
        <f t="shared" si="4"/>
        <v/>
      </c>
      <c r="N11" s="97" t="str">
        <f t="shared" si="5"/>
        <v/>
      </c>
      <c r="O11" s="97" t="str">
        <f t="shared" si="6"/>
        <v/>
      </c>
      <c r="P11" s="95" t="str">
        <f t="shared" si="7"/>
        <v/>
      </c>
      <c r="Q11" s="98" t="str">
        <f t="shared" si="8"/>
        <v/>
      </c>
      <c r="R11" s="119"/>
    </row>
    <row r="12" spans="1:18" s="114" customFormat="1" ht="16.2" thickBot="1" x14ac:dyDescent="0.35">
      <c r="A12" s="86" t="str">
        <f>IF(TRIM(H12)&lt;&gt;"",COUNTA(H$8:$H12)&amp;"","")</f>
        <v/>
      </c>
      <c r="B12" s="87"/>
      <c r="C12" s="87"/>
      <c r="D12" s="122"/>
      <c r="E12" s="105"/>
      <c r="F12" s="90"/>
      <c r="H12" s="123"/>
      <c r="I12" s="108" t="s">
        <v>12</v>
      </c>
      <c r="J12" s="109"/>
      <c r="K12" s="110">
        <f>SUM(L$8:L$11)</f>
        <v>140</v>
      </c>
      <c r="L12" s="190" t="s">
        <v>13</v>
      </c>
      <c r="M12" s="191"/>
      <c r="N12" s="111">
        <f>SUM(P$8:P$11)</f>
        <v>112.5</v>
      </c>
      <c r="O12" s="190" t="s">
        <v>42</v>
      </c>
      <c r="P12" s="191"/>
      <c r="Q12" s="112">
        <f>SUM(O$8:O$11)</f>
        <v>1.5</v>
      </c>
      <c r="R12" s="113">
        <f>SUM(Q$8:Q$11)</f>
        <v>252.5</v>
      </c>
    </row>
    <row r="13" spans="1:18" ht="15" thickBot="1" x14ac:dyDescent="0.35">
      <c r="A13" s="86" t="str">
        <f>IF(TRIM(H13)&lt;&gt;"",COUNTA(H$8:$H13)&amp;"","")</f>
        <v/>
      </c>
      <c r="B13" s="101"/>
      <c r="C13" s="101"/>
      <c r="D13" s="126"/>
      <c r="E13" s="102"/>
      <c r="F13" s="90"/>
      <c r="H13" s="91"/>
      <c r="I13" s="92" t="str">
        <f>IF(F13=0,"",0)</f>
        <v/>
      </c>
      <c r="J13" s="93" t="str">
        <f t="shared" ref="J13" si="9">IF(F13=0,"",F13+(F13*I13))</f>
        <v/>
      </c>
      <c r="K13" s="94" t="str">
        <f>IF(F13=0,"",0)</f>
        <v/>
      </c>
      <c r="L13" s="95" t="str">
        <f>IF(F13=0,"",K13*J13)</f>
        <v/>
      </c>
      <c r="M13" s="96" t="str">
        <f>IF(F13=0,"",M$7)</f>
        <v/>
      </c>
      <c r="N13" s="97" t="str">
        <f>IF(F13=0,"",0)</f>
        <v/>
      </c>
      <c r="O13" s="97" t="str">
        <f>IF(F13=0,"",N13*J13)</f>
        <v/>
      </c>
      <c r="P13" s="95" t="str">
        <f>IF(F13=0,"",O13*M13)</f>
        <v/>
      </c>
      <c r="Q13" s="98" t="str">
        <f>IF(F13=0,"",L13+P13)</f>
        <v/>
      </c>
      <c r="R13" s="99"/>
    </row>
    <row r="14" spans="1:18" s="114" customFormat="1" ht="16.2" thickBot="1" x14ac:dyDescent="0.35">
      <c r="A14" s="86" t="str">
        <f>IF(TRIM(H14)&lt;&gt;"",COUNTA(H$8:$H14)&amp;"","")</f>
        <v/>
      </c>
      <c r="B14" s="103"/>
      <c r="C14" s="103"/>
      <c r="D14" s="104"/>
      <c r="E14" s="105"/>
      <c r="F14" s="106"/>
      <c r="H14" s="107"/>
      <c r="I14" s="216" t="s">
        <v>207</v>
      </c>
      <c r="J14" s="218"/>
      <c r="K14" s="165">
        <f>SUM(L$8:L$13)</f>
        <v>140</v>
      </c>
      <c r="L14" s="270" t="s">
        <v>208</v>
      </c>
      <c r="M14" s="271"/>
      <c r="N14" s="176">
        <f>SUM(P$8:P$13)</f>
        <v>112.5</v>
      </c>
      <c r="O14" s="270" t="s">
        <v>209</v>
      </c>
      <c r="P14" s="271"/>
      <c r="Q14" s="176">
        <f>SUM(O$8:O$13)</f>
        <v>1.5</v>
      </c>
      <c r="R14" s="176">
        <f>SUM(R$8:R$13)</f>
        <v>252.5</v>
      </c>
    </row>
    <row r="15" spans="1:18" ht="15" thickBot="1" x14ac:dyDescent="0.35">
      <c r="A15" s="86" t="str">
        <f>IF(TRIM(H15)&lt;&gt;"",COUNTA(H$8:$H15)&amp;"","")</f>
        <v/>
      </c>
      <c r="B15" s="87"/>
      <c r="C15" s="87"/>
      <c r="D15" s="117"/>
      <c r="E15" s="89"/>
      <c r="F15" s="90"/>
      <c r="H15" s="91"/>
      <c r="I15" s="92" t="str">
        <f>IF(F15=0,"",0)</f>
        <v/>
      </c>
      <c r="J15" s="93" t="str">
        <f t="shared" ref="J15" si="10">IF(F15=0,"",F15+(F15*I15))</f>
        <v/>
      </c>
      <c r="K15" s="94" t="str">
        <f>IF(F15=0,"",0)</f>
        <v/>
      </c>
      <c r="L15" s="95" t="str">
        <f>IF(F15=0,"",K15*J15)</f>
        <v/>
      </c>
      <c r="M15" s="96" t="str">
        <f>IF(F15=0,"",M$7)</f>
        <v/>
      </c>
      <c r="N15" s="97" t="str">
        <f>IF(F15=0,"",0)</f>
        <v/>
      </c>
      <c r="O15" s="97" t="str">
        <f>IF(F15=0,"",N15*J15)</f>
        <v/>
      </c>
      <c r="P15" s="95" t="str">
        <f>IF(F15=0,"",O15*M15)</f>
        <v/>
      </c>
      <c r="Q15" s="98" t="str">
        <f>IF(F15=0,"",L15+P15)</f>
        <v/>
      </c>
      <c r="R15" s="99"/>
    </row>
    <row r="16" spans="1:18" ht="20.100000000000001" customHeight="1" thickBot="1" x14ac:dyDescent="0.35">
      <c r="A16" s="235" t="s">
        <v>26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131">
        <f>SUM(L$8:$L$15)</f>
        <v>140</v>
      </c>
    </row>
    <row r="17" spans="1:18" ht="20.100000000000001" customHeight="1" thickBot="1" x14ac:dyDescent="0.35">
      <c r="A17" s="235" t="s">
        <v>27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131">
        <f>SUM(P$8:P$15)</f>
        <v>112.5</v>
      </c>
    </row>
    <row r="18" spans="1:18" ht="20.100000000000001" customHeight="1" thickBot="1" x14ac:dyDescent="0.35">
      <c r="A18" s="235" t="s">
        <v>203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132">
        <f>SUM(O$8:O$15)</f>
        <v>1.5</v>
      </c>
    </row>
    <row r="19" spans="1:18" ht="17.399999999999999" x14ac:dyDescent="0.3">
      <c r="A19" s="133"/>
      <c r="B19" s="134" t="s">
        <v>152</v>
      </c>
      <c r="C19" s="135"/>
      <c r="D19" s="136"/>
      <c r="E19" s="134"/>
      <c r="F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  <row r="20" spans="1:18" s="140" customFormat="1" ht="18" customHeight="1" x14ac:dyDescent="0.3">
      <c r="A20" s="139">
        <v>1</v>
      </c>
      <c r="B20" s="240" t="s">
        <v>226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</row>
    <row r="21" spans="1:18" s="140" customFormat="1" ht="18" customHeight="1" x14ac:dyDescent="0.3">
      <c r="A21" s="139">
        <v>2</v>
      </c>
      <c r="B21" s="240" t="s">
        <v>227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1:18" s="140" customFormat="1" ht="18" customHeight="1" x14ac:dyDescent="0.3">
      <c r="A22" s="139">
        <v>3</v>
      </c>
      <c r="B22" s="240" t="s">
        <v>154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1:18" s="140" customFormat="1" ht="18" customHeight="1" x14ac:dyDescent="0.3">
      <c r="A23" s="139">
        <v>4</v>
      </c>
      <c r="B23" s="240" t="s">
        <v>228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1:18" ht="21" thickBot="1" x14ac:dyDescent="0.35">
      <c r="A24" s="141"/>
      <c r="B24" s="142"/>
      <c r="C24" s="142"/>
      <c r="D24" s="143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2"/>
    </row>
  </sheetData>
  <mergeCells count="30">
    <mergeCell ref="B20:R20"/>
    <mergeCell ref="B21:R21"/>
    <mergeCell ref="B22:R22"/>
    <mergeCell ref="B23:R23"/>
    <mergeCell ref="E24:R24"/>
    <mergeCell ref="A18:Q18"/>
    <mergeCell ref="L12:M12"/>
    <mergeCell ref="O12:P12"/>
    <mergeCell ref="A4:D5"/>
    <mergeCell ref="E4:M4"/>
    <mergeCell ref="N4:O4"/>
    <mergeCell ref="P4:R4"/>
    <mergeCell ref="F5:M5"/>
    <mergeCell ref="N5:O5"/>
    <mergeCell ref="P5:R5"/>
    <mergeCell ref="I14:J14"/>
    <mergeCell ref="L14:M14"/>
    <mergeCell ref="O14:P14"/>
    <mergeCell ref="A16:Q16"/>
    <mergeCell ref="A17:Q17"/>
    <mergeCell ref="A1:D3"/>
    <mergeCell ref="E1:M1"/>
    <mergeCell ref="N1:O1"/>
    <mergeCell ref="P1:R1"/>
    <mergeCell ref="E2:M2"/>
    <mergeCell ref="N2:O2"/>
    <mergeCell ref="P2:R2"/>
    <mergeCell ref="E3:M3"/>
    <mergeCell ref="N3:O3"/>
    <mergeCell ref="P3:R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0149-1FA8-4A2D-8857-D4075B211970}">
  <sheetPr>
    <tabColor rgb="FFB9282E"/>
    <pageSetUpPr fitToPage="1"/>
  </sheetPr>
  <dimension ref="A1:R25"/>
  <sheetViews>
    <sheetView zoomScale="50" zoomScaleNormal="50" zoomScaleSheetLayoutView="85" workbookViewId="0">
      <selection activeCell="R8" sqref="A8:R8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72" t="s">
        <v>947</v>
      </c>
      <c r="F1" s="273"/>
      <c r="G1" s="273"/>
      <c r="H1" s="273"/>
      <c r="I1" s="273"/>
      <c r="J1" s="273"/>
      <c r="K1" s="273"/>
      <c r="L1" s="273"/>
      <c r="M1" s="274"/>
      <c r="N1" s="275" t="s">
        <v>206</v>
      </c>
      <c r="O1" s="276"/>
      <c r="P1" s="277">
        <f>SUM(R$17+R$18)</f>
        <v>15045.75</v>
      </c>
      <c r="Q1" s="278"/>
      <c r="R1" s="279"/>
    </row>
    <row r="2" spans="1:18" ht="69.900000000000006" customHeight="1" thickBot="1" x14ac:dyDescent="0.35">
      <c r="A2" s="201"/>
      <c r="B2" s="202"/>
      <c r="C2" s="202"/>
      <c r="D2" s="203"/>
      <c r="E2" s="280" t="s">
        <v>948</v>
      </c>
      <c r="F2" s="281"/>
      <c r="G2" s="281"/>
      <c r="H2" s="281"/>
      <c r="I2" s="281"/>
      <c r="J2" s="281"/>
      <c r="K2" s="281"/>
      <c r="L2" s="281"/>
      <c r="M2" s="281"/>
      <c r="N2" s="275" t="s">
        <v>204</v>
      </c>
      <c r="O2" s="276"/>
      <c r="P2" s="277">
        <f>P$1*'Bid Recap &amp; Summary'!D$33</f>
        <v>1504.575</v>
      </c>
      <c r="Q2" s="278"/>
      <c r="R2" s="279"/>
    </row>
    <row r="3" spans="1:18" ht="65.099999999999994" customHeight="1" thickBot="1" x14ac:dyDescent="0.35">
      <c r="A3" s="204"/>
      <c r="B3" s="205"/>
      <c r="C3" s="205"/>
      <c r="D3" s="206"/>
      <c r="E3" s="282" t="s">
        <v>958</v>
      </c>
      <c r="F3" s="283"/>
      <c r="G3" s="283"/>
      <c r="H3" s="283"/>
      <c r="I3" s="283"/>
      <c r="J3" s="283"/>
      <c r="K3" s="283"/>
      <c r="L3" s="283"/>
      <c r="M3" s="284"/>
      <c r="N3" s="275" t="s">
        <v>205</v>
      </c>
      <c r="O3" s="276"/>
      <c r="P3" s="277">
        <f>P$1*'Bid Recap &amp; Summary'!D$34</f>
        <v>1504.575</v>
      </c>
      <c r="Q3" s="278"/>
      <c r="R3" s="279"/>
    </row>
    <row r="4" spans="1:18" ht="60" customHeight="1" thickBot="1" x14ac:dyDescent="0.35">
      <c r="A4" s="285"/>
      <c r="B4" s="286"/>
      <c r="C4" s="286"/>
      <c r="D4" s="287"/>
      <c r="E4" s="282" t="s">
        <v>225</v>
      </c>
      <c r="F4" s="283"/>
      <c r="G4" s="283"/>
      <c r="H4" s="283"/>
      <c r="I4" s="283"/>
      <c r="J4" s="283"/>
      <c r="K4" s="283"/>
      <c r="L4" s="283"/>
      <c r="M4" s="284"/>
      <c r="N4" s="178" t="s">
        <v>186</v>
      </c>
      <c r="O4" s="180"/>
      <c r="P4" s="277"/>
      <c r="Q4" s="278"/>
      <c r="R4" s="279"/>
    </row>
    <row r="5" spans="1:18" ht="60" customHeight="1" thickBot="1" x14ac:dyDescent="0.35">
      <c r="A5" s="288"/>
      <c r="B5" s="289"/>
      <c r="C5" s="289"/>
      <c r="D5" s="290"/>
      <c r="E5" s="152" t="s">
        <v>153</v>
      </c>
      <c r="F5" s="291">
        <f ca="1">TODAY()</f>
        <v>45569</v>
      </c>
      <c r="G5" s="291"/>
      <c r="H5" s="291"/>
      <c r="I5" s="291"/>
      <c r="J5" s="291"/>
      <c r="K5" s="291"/>
      <c r="L5" s="291"/>
      <c r="M5" s="292"/>
      <c r="N5" s="178" t="s">
        <v>959</v>
      </c>
      <c r="O5" s="180"/>
      <c r="P5" s="178">
        <f>SUM(P$1:R$4)</f>
        <v>18054.900000000001</v>
      </c>
      <c r="Q5" s="179"/>
      <c r="R5" s="180"/>
    </row>
    <row r="6" spans="1:18" ht="50.1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ht="19.2" customHeight="1" x14ac:dyDescent="0.3">
      <c r="A8" s="295" t="str">
        <f>IF(TRIM(H8)&lt;&gt;"",COUNTA(H$8:$H8)&amp;"","")</f>
        <v/>
      </c>
      <c r="B8" s="296"/>
      <c r="C8" s="296"/>
      <c r="D8" s="297">
        <v>70000</v>
      </c>
      <c r="E8" s="297" t="s">
        <v>151</v>
      </c>
      <c r="F8" s="298"/>
      <c r="G8" s="299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300"/>
    </row>
    <row r="9" spans="1:18" s="116" customFormat="1" ht="19.2" customHeight="1" x14ac:dyDescent="0.3">
      <c r="A9" s="86" t="str">
        <f>IF(TRIM(H9)&lt;&gt;"",COUNTA(H$8:$H9)&amp;"","")</f>
        <v/>
      </c>
      <c r="B9" s="115"/>
      <c r="C9" s="115"/>
      <c r="D9" s="88"/>
      <c r="E9" s="162" t="s">
        <v>955</v>
      </c>
      <c r="F9" s="90"/>
      <c r="H9" s="91"/>
      <c r="I9" s="92" t="str">
        <f t="shared" ref="I9:I12" si="0">IF(F9=0,"",0)</f>
        <v/>
      </c>
      <c r="J9" s="93" t="str">
        <f t="shared" ref="J9:J12" si="1">IF(F9=0,"",F9+(F9*I9))</f>
        <v/>
      </c>
      <c r="K9" s="94" t="str">
        <f t="shared" ref="K9:K12" si="2">IF(F9=0,"",0)</f>
        <v/>
      </c>
      <c r="L9" s="95" t="str">
        <f t="shared" ref="L9:L12" si="3">IF(F9=0,"",K9*J9)</f>
        <v/>
      </c>
      <c r="M9" s="96" t="str">
        <f t="shared" ref="M9:M12" si="4">IF(F9=0,"",M$7)</f>
        <v/>
      </c>
      <c r="N9" s="97" t="str">
        <f t="shared" ref="N9:N12" si="5">IF(F9=0,"",0)</f>
        <v/>
      </c>
      <c r="O9" s="97" t="str">
        <f t="shared" ref="O9:O12" si="6">IF(F9=0,"",N9*J9)</f>
        <v/>
      </c>
      <c r="P9" s="95" t="str">
        <f t="shared" ref="P9:P12" si="7">IF(F9=0,"",O9*M9)</f>
        <v/>
      </c>
      <c r="Q9" s="98" t="str">
        <f t="shared" ref="Q9:Q12" si="8">IF(F9=0,"",L9+P9)</f>
        <v/>
      </c>
      <c r="R9" s="99"/>
    </row>
    <row r="10" spans="1:18" ht="18.899999999999999" customHeight="1" x14ac:dyDescent="0.3">
      <c r="A10" s="86" t="str">
        <f>IF(TRIM(H10)&lt;&gt;"",COUNTA(H$8:$H10)&amp;"","")</f>
        <v>1</v>
      </c>
      <c r="B10" s="241" t="s">
        <v>497</v>
      </c>
      <c r="C10" s="241" t="s">
        <v>492</v>
      </c>
      <c r="D10" s="259"/>
      <c r="E10" s="100" t="s">
        <v>956</v>
      </c>
      <c r="F10" s="90">
        <v>485</v>
      </c>
      <c r="H10" s="91" t="s">
        <v>184</v>
      </c>
      <c r="I10" s="92">
        <f t="shared" si="0"/>
        <v>0</v>
      </c>
      <c r="J10" s="93">
        <f t="shared" si="1"/>
        <v>485</v>
      </c>
      <c r="K10" s="94">
        <v>4.5</v>
      </c>
      <c r="L10" s="95">
        <f t="shared" si="3"/>
        <v>2182.5</v>
      </c>
      <c r="M10" s="96">
        <f t="shared" si="4"/>
        <v>75</v>
      </c>
      <c r="N10" s="97">
        <v>7.4999999999999997E-2</v>
      </c>
      <c r="O10" s="97">
        <f t="shared" si="6"/>
        <v>36.375</v>
      </c>
      <c r="P10" s="95">
        <f t="shared" si="7"/>
        <v>2728.125</v>
      </c>
      <c r="Q10" s="98">
        <f t="shared" si="8"/>
        <v>4910.625</v>
      </c>
      <c r="R10" s="99"/>
    </row>
    <row r="11" spans="1:18" ht="18.899999999999999" customHeight="1" x14ac:dyDescent="0.3">
      <c r="A11" s="86" t="str">
        <f>IF(TRIM(H11)&lt;&gt;"",COUNTA(H$8:$H11)&amp;"","")</f>
        <v>2</v>
      </c>
      <c r="B11" s="243"/>
      <c r="C11" s="243"/>
      <c r="D11" s="261"/>
      <c r="E11" s="100" t="s">
        <v>957</v>
      </c>
      <c r="F11" s="90">
        <v>1155</v>
      </c>
      <c r="H11" s="91" t="s">
        <v>210</v>
      </c>
      <c r="I11" s="92">
        <f t="shared" si="0"/>
        <v>0</v>
      </c>
      <c r="J11" s="93">
        <f t="shared" si="1"/>
        <v>1155</v>
      </c>
      <c r="K11" s="94">
        <v>3.9</v>
      </c>
      <c r="L11" s="95">
        <f t="shared" si="3"/>
        <v>4504.5</v>
      </c>
      <c r="M11" s="96">
        <f t="shared" si="4"/>
        <v>75</v>
      </c>
      <c r="N11" s="97">
        <v>6.5000000000000002E-2</v>
      </c>
      <c r="O11" s="97">
        <f t="shared" si="6"/>
        <v>75.075000000000003</v>
      </c>
      <c r="P11" s="95">
        <f t="shared" si="7"/>
        <v>5630.625</v>
      </c>
      <c r="Q11" s="98">
        <f t="shared" si="8"/>
        <v>10135.125</v>
      </c>
      <c r="R11" s="99"/>
    </row>
    <row r="12" spans="1:18" ht="18.899999999999999" customHeight="1" thickBot="1" x14ac:dyDescent="0.35">
      <c r="A12" s="86" t="str">
        <f>IF(TRIM(H12)&lt;&gt;"",COUNTA(H$8:$H12)&amp;"","")</f>
        <v/>
      </c>
      <c r="B12" s="101"/>
      <c r="C12" s="101"/>
      <c r="D12" s="88"/>
      <c r="E12" s="102"/>
      <c r="F12" s="90"/>
      <c r="H12" s="91"/>
      <c r="I12" s="92" t="str">
        <f t="shared" si="0"/>
        <v/>
      </c>
      <c r="J12" s="93" t="str">
        <f t="shared" si="1"/>
        <v/>
      </c>
      <c r="K12" s="94" t="str">
        <f t="shared" si="2"/>
        <v/>
      </c>
      <c r="L12" s="95" t="str">
        <f t="shared" si="3"/>
        <v/>
      </c>
      <c r="M12" s="96" t="str">
        <f t="shared" si="4"/>
        <v/>
      </c>
      <c r="N12" s="97" t="str">
        <f t="shared" si="5"/>
        <v/>
      </c>
      <c r="O12" s="97" t="str">
        <f t="shared" si="6"/>
        <v/>
      </c>
      <c r="P12" s="95" t="str">
        <f t="shared" si="7"/>
        <v/>
      </c>
      <c r="Q12" s="98" t="str">
        <f t="shared" si="8"/>
        <v/>
      </c>
      <c r="R12" s="99"/>
    </row>
    <row r="13" spans="1:18" s="114" customFormat="1" ht="16.2" thickBot="1" x14ac:dyDescent="0.35">
      <c r="A13" s="86" t="str">
        <f>IF(TRIM(H13)&lt;&gt;"",COUNTA(H$8:$H13)&amp;"","")</f>
        <v/>
      </c>
      <c r="B13" s="103"/>
      <c r="C13" s="103"/>
      <c r="D13" s="104"/>
      <c r="E13" s="105"/>
      <c r="F13" s="106"/>
      <c r="H13" s="107"/>
      <c r="I13" s="108" t="s">
        <v>12</v>
      </c>
      <c r="J13" s="109"/>
      <c r="K13" s="110">
        <f>SUM(L$8:L$12)</f>
        <v>6687</v>
      </c>
      <c r="L13" s="190" t="s">
        <v>13</v>
      </c>
      <c r="M13" s="191"/>
      <c r="N13" s="111">
        <f>SUM(P$8:P$12)</f>
        <v>8358.75</v>
      </c>
      <c r="O13" s="190" t="s">
        <v>42</v>
      </c>
      <c r="P13" s="191"/>
      <c r="Q13" s="112">
        <f>SUM(O$8:O$12)</f>
        <v>111.45</v>
      </c>
      <c r="R13" s="113">
        <f>SUM(Q$8:Q$12)</f>
        <v>15045.75</v>
      </c>
    </row>
    <row r="14" spans="1:18" ht="15" thickBot="1" x14ac:dyDescent="0.35">
      <c r="A14" s="86" t="str">
        <f>IF(TRIM(H14)&lt;&gt;"",COUNTA(H$8:$H14)&amp;"","")</f>
        <v/>
      </c>
      <c r="B14" s="101"/>
      <c r="C14" s="101"/>
      <c r="D14" s="126"/>
      <c r="E14" s="102"/>
      <c r="F14" s="90"/>
      <c r="H14" s="91"/>
      <c r="I14" s="92" t="str">
        <f>IF(F14=0,"",0)</f>
        <v/>
      </c>
      <c r="J14" s="93" t="str">
        <f t="shared" ref="J14" si="9">IF(F14=0,"",F14+(F14*I14))</f>
        <v/>
      </c>
      <c r="K14" s="94" t="str">
        <f>IF(F14=0,"",0)</f>
        <v/>
      </c>
      <c r="L14" s="95" t="str">
        <f>IF(F14=0,"",K14*J14)</f>
        <v/>
      </c>
      <c r="M14" s="96" t="str">
        <f>IF(F14=0,"",M$7)</f>
        <v/>
      </c>
      <c r="N14" s="97" t="str">
        <f>IF(F14=0,"",0)</f>
        <v/>
      </c>
      <c r="O14" s="97" t="str">
        <f>IF(F14=0,"",N14*J14)</f>
        <v/>
      </c>
      <c r="P14" s="95" t="str">
        <f>IF(F14=0,"",O14*M14)</f>
        <v/>
      </c>
      <c r="Q14" s="98" t="str">
        <f>IF(F14=0,"",L14+P14)</f>
        <v/>
      </c>
      <c r="R14" s="99"/>
    </row>
    <row r="15" spans="1:18" s="114" customFormat="1" ht="16.2" thickBot="1" x14ac:dyDescent="0.35">
      <c r="A15" s="86" t="str">
        <f>IF(TRIM(H15)&lt;&gt;"",COUNTA(H$8:$H15)&amp;"","")</f>
        <v/>
      </c>
      <c r="B15" s="103"/>
      <c r="C15" s="103"/>
      <c r="D15" s="104"/>
      <c r="E15" s="105"/>
      <c r="F15" s="106"/>
      <c r="H15" s="107"/>
      <c r="I15" s="277" t="s">
        <v>207</v>
      </c>
      <c r="J15" s="279"/>
      <c r="K15" s="161">
        <f>SUM(L$8:L$14)</f>
        <v>6687</v>
      </c>
      <c r="L15" s="293" t="s">
        <v>208</v>
      </c>
      <c r="M15" s="294"/>
      <c r="N15" s="174">
        <f>SUM(P$8:P$14)</f>
        <v>8358.75</v>
      </c>
      <c r="O15" s="293" t="s">
        <v>209</v>
      </c>
      <c r="P15" s="294"/>
      <c r="Q15" s="174">
        <f>SUM(O$8:O$14)</f>
        <v>111.45</v>
      </c>
      <c r="R15" s="174">
        <f>SUM(R$8:R$14)</f>
        <v>15045.75</v>
      </c>
    </row>
    <row r="16" spans="1:18" ht="15" thickBot="1" x14ac:dyDescent="0.35">
      <c r="A16" s="86" t="str">
        <f>IF(TRIM(H16)&lt;&gt;"",COUNTA(H$8:$H16)&amp;"","")</f>
        <v/>
      </c>
      <c r="B16" s="87"/>
      <c r="C16" s="87"/>
      <c r="D16" s="117"/>
      <c r="E16" s="89"/>
      <c r="F16" s="90"/>
      <c r="H16" s="91"/>
      <c r="I16" s="92" t="str">
        <f>IF(F16=0,"",0)</f>
        <v/>
      </c>
      <c r="J16" s="93" t="str">
        <f t="shared" ref="J16" si="10">IF(F16=0,"",F16+(F16*I16))</f>
        <v/>
      </c>
      <c r="K16" s="94" t="str">
        <f>IF(F16=0,"",0)</f>
        <v/>
      </c>
      <c r="L16" s="95" t="str">
        <f>IF(F16=0,"",K16*J16)</f>
        <v/>
      </c>
      <c r="M16" s="96" t="str">
        <f>IF(F16=0,"",M$7)</f>
        <v/>
      </c>
      <c r="N16" s="97" t="str">
        <f>IF(F16=0,"",0)</f>
        <v/>
      </c>
      <c r="O16" s="97" t="str">
        <f>IF(F16=0,"",N16*J16)</f>
        <v/>
      </c>
      <c r="P16" s="95" t="str">
        <f>IF(F16=0,"",O16*M16)</f>
        <v/>
      </c>
      <c r="Q16" s="98" t="str">
        <f>IF(F16=0,"",L16+P16)</f>
        <v/>
      </c>
      <c r="R16" s="99"/>
    </row>
    <row r="17" spans="1:18" ht="20.100000000000001" customHeight="1" thickBot="1" x14ac:dyDescent="0.35">
      <c r="A17" s="235" t="s">
        <v>26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131">
        <f>SUM(L$8:$L$16)</f>
        <v>6687</v>
      </c>
    </row>
    <row r="18" spans="1:18" ht="20.100000000000001" customHeight="1" thickBot="1" x14ac:dyDescent="0.35">
      <c r="A18" s="235" t="s">
        <v>27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131">
        <f>SUM(P$8:P$16)</f>
        <v>8358.75</v>
      </c>
    </row>
    <row r="19" spans="1:18" ht="20.100000000000001" customHeight="1" thickBot="1" x14ac:dyDescent="0.35">
      <c r="A19" s="235" t="s">
        <v>203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132">
        <f>SUM(O$8:O$16)</f>
        <v>111.45</v>
      </c>
    </row>
    <row r="20" spans="1:18" ht="17.399999999999999" x14ac:dyDescent="0.3">
      <c r="A20" s="133"/>
      <c r="B20" s="134" t="s">
        <v>152</v>
      </c>
      <c r="C20" s="135"/>
      <c r="D20" s="136"/>
      <c r="E20" s="134"/>
      <c r="F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</row>
    <row r="21" spans="1:18" s="140" customFormat="1" ht="18" customHeight="1" x14ac:dyDescent="0.3">
      <c r="A21" s="139">
        <v>1</v>
      </c>
      <c r="B21" s="240" t="s">
        <v>226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1:18" s="140" customFormat="1" ht="18" customHeight="1" x14ac:dyDescent="0.3">
      <c r="A22" s="139">
        <v>2</v>
      </c>
      <c r="B22" s="240" t="s">
        <v>227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1:18" s="140" customFormat="1" ht="18" customHeight="1" x14ac:dyDescent="0.3">
      <c r="A23" s="139">
        <v>3</v>
      </c>
      <c r="B23" s="240" t="s">
        <v>154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1:18" s="140" customFormat="1" ht="18" customHeight="1" x14ac:dyDescent="0.3">
      <c r="A24" s="139">
        <v>4</v>
      </c>
      <c r="B24" s="240" t="s">
        <v>228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</row>
    <row r="25" spans="1:18" ht="21" thickBot="1" x14ac:dyDescent="0.35">
      <c r="A25" s="141"/>
      <c r="B25" s="142"/>
      <c r="C25" s="142"/>
      <c r="D25" s="143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2"/>
    </row>
  </sheetData>
  <mergeCells count="33">
    <mergeCell ref="B24:R24"/>
    <mergeCell ref="E25:R25"/>
    <mergeCell ref="B10:B11"/>
    <mergeCell ref="C10:C11"/>
    <mergeCell ref="D10:D11"/>
    <mergeCell ref="A17:Q17"/>
    <mergeCell ref="A18:Q18"/>
    <mergeCell ref="A19:Q19"/>
    <mergeCell ref="B21:R21"/>
    <mergeCell ref="B22:R22"/>
    <mergeCell ref="B23:R23"/>
    <mergeCell ref="I15:J15"/>
    <mergeCell ref="L15:M15"/>
    <mergeCell ref="O15:P15"/>
    <mergeCell ref="L13:M13"/>
    <mergeCell ref="O13:P13"/>
    <mergeCell ref="A4:D5"/>
    <mergeCell ref="E4:M4"/>
    <mergeCell ref="N4:O4"/>
    <mergeCell ref="P4:R4"/>
    <mergeCell ref="F5:M5"/>
    <mergeCell ref="N5:O5"/>
    <mergeCell ref="P5:R5"/>
    <mergeCell ref="A1:D3"/>
    <mergeCell ref="E1:M1"/>
    <mergeCell ref="N1:O1"/>
    <mergeCell ref="P1:R1"/>
    <mergeCell ref="E2:M2"/>
    <mergeCell ref="N2:O2"/>
    <mergeCell ref="P2:R2"/>
    <mergeCell ref="E3:M3"/>
    <mergeCell ref="N3:O3"/>
    <mergeCell ref="P3:R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EACD-9928-481B-BC41-547928B9FA91}">
  <sheetPr>
    <tabColor rgb="FFB9282E"/>
    <pageSetUpPr fitToPage="1"/>
  </sheetPr>
  <dimension ref="A1:R25"/>
  <sheetViews>
    <sheetView topLeftCell="D1" zoomScale="60" zoomScaleNormal="60" zoomScaleSheetLayoutView="85" workbookViewId="0">
      <selection activeCell="D8" sqref="D8:R8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28" t="s">
        <v>947</v>
      </c>
      <c r="F1" s="229"/>
      <c r="G1" s="229"/>
      <c r="H1" s="229"/>
      <c r="I1" s="229"/>
      <c r="J1" s="229"/>
      <c r="K1" s="229"/>
      <c r="L1" s="229"/>
      <c r="M1" s="230"/>
      <c r="N1" s="219" t="s">
        <v>206</v>
      </c>
      <c r="O1" s="220"/>
      <c r="P1" s="216">
        <f>SUM(R$17+R$18)</f>
        <v>3358.125</v>
      </c>
      <c r="Q1" s="217"/>
      <c r="R1" s="218"/>
    </row>
    <row r="2" spans="1:18" ht="69.900000000000006" customHeight="1" thickBot="1" x14ac:dyDescent="0.35">
      <c r="A2" s="201"/>
      <c r="B2" s="202"/>
      <c r="C2" s="202"/>
      <c r="D2" s="203"/>
      <c r="E2" s="226" t="s">
        <v>948</v>
      </c>
      <c r="F2" s="227"/>
      <c r="G2" s="227"/>
      <c r="H2" s="227"/>
      <c r="I2" s="227"/>
      <c r="J2" s="227"/>
      <c r="K2" s="227"/>
      <c r="L2" s="227"/>
      <c r="M2" s="227"/>
      <c r="N2" s="219" t="s">
        <v>204</v>
      </c>
      <c r="O2" s="220"/>
      <c r="P2" s="216">
        <f>P$1*'Bid Recap &amp; Summary'!D$33</f>
        <v>335.8125</v>
      </c>
      <c r="Q2" s="217"/>
      <c r="R2" s="218"/>
    </row>
    <row r="3" spans="1:18" ht="65.099999999999994" customHeight="1" thickBot="1" x14ac:dyDescent="0.35">
      <c r="A3" s="204"/>
      <c r="B3" s="205"/>
      <c r="C3" s="205"/>
      <c r="D3" s="206"/>
      <c r="E3" s="213" t="s">
        <v>960</v>
      </c>
      <c r="F3" s="214"/>
      <c r="G3" s="214"/>
      <c r="H3" s="214"/>
      <c r="I3" s="214"/>
      <c r="J3" s="214"/>
      <c r="K3" s="214"/>
      <c r="L3" s="214"/>
      <c r="M3" s="215"/>
      <c r="N3" s="219" t="s">
        <v>205</v>
      </c>
      <c r="O3" s="220"/>
      <c r="P3" s="216">
        <f>P$1*'Bid Recap &amp; Summary'!D$34</f>
        <v>335.8125</v>
      </c>
      <c r="Q3" s="217"/>
      <c r="R3" s="218"/>
    </row>
    <row r="4" spans="1:18" ht="60" customHeight="1" thickBot="1" x14ac:dyDescent="0.35">
      <c r="A4" s="207"/>
      <c r="B4" s="208"/>
      <c r="C4" s="208"/>
      <c r="D4" s="209"/>
      <c r="E4" s="213" t="s">
        <v>225</v>
      </c>
      <c r="F4" s="214"/>
      <c r="G4" s="214"/>
      <c r="H4" s="214"/>
      <c r="I4" s="214"/>
      <c r="J4" s="214"/>
      <c r="K4" s="214"/>
      <c r="L4" s="214"/>
      <c r="M4" s="215"/>
      <c r="N4" s="221" t="s">
        <v>186</v>
      </c>
      <c r="O4" s="223"/>
      <c r="P4" s="216"/>
      <c r="Q4" s="217"/>
      <c r="R4" s="218"/>
    </row>
    <row r="5" spans="1:18" ht="60" customHeight="1" thickBot="1" x14ac:dyDescent="0.35">
      <c r="A5" s="210"/>
      <c r="B5" s="211"/>
      <c r="C5" s="211"/>
      <c r="D5" s="212"/>
      <c r="E5" s="166" t="s">
        <v>153</v>
      </c>
      <c r="F5" s="224">
        <f ca="1">TODAY()</f>
        <v>45569</v>
      </c>
      <c r="G5" s="224"/>
      <c r="H5" s="224"/>
      <c r="I5" s="224"/>
      <c r="J5" s="224"/>
      <c r="K5" s="224"/>
      <c r="L5" s="224"/>
      <c r="M5" s="225"/>
      <c r="N5" s="221" t="s">
        <v>979</v>
      </c>
      <c r="O5" s="223"/>
      <c r="P5" s="221">
        <f>SUM(P$1:R$4)</f>
        <v>4029.75</v>
      </c>
      <c r="Q5" s="222"/>
      <c r="R5" s="223"/>
    </row>
    <row r="6" spans="1:18" ht="50.1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ht="19.2" customHeight="1" x14ac:dyDescent="0.3">
      <c r="A8" s="84" t="str">
        <f>IF(TRIM(H8)&lt;&gt;"",COUNTA(H$8:$H8)&amp;"","")</f>
        <v/>
      </c>
      <c r="B8" s="85"/>
      <c r="C8" s="85"/>
      <c r="D8" s="297">
        <v>70000</v>
      </c>
      <c r="E8" s="297" t="s">
        <v>151</v>
      </c>
      <c r="F8" s="298"/>
      <c r="G8" s="299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300"/>
    </row>
    <row r="9" spans="1:18" s="116" customFormat="1" ht="19.2" customHeight="1" x14ac:dyDescent="0.3">
      <c r="A9" s="86" t="str">
        <f>IF(TRIM(H9)&lt;&gt;"",COUNTA(H$8:$H9)&amp;"","")</f>
        <v/>
      </c>
      <c r="B9" s="115"/>
      <c r="C9" s="115"/>
      <c r="D9" s="88"/>
      <c r="E9" s="175" t="s">
        <v>955</v>
      </c>
      <c r="F9" s="90"/>
      <c r="H9" s="91"/>
      <c r="I9" s="92" t="str">
        <f t="shared" ref="I9:I12" si="0">IF(F9=0,"",0)</f>
        <v/>
      </c>
      <c r="J9" s="93" t="str">
        <f t="shared" ref="J9:J12" si="1">IF(F9=0,"",F9+(F9*I9))</f>
        <v/>
      </c>
      <c r="K9" s="94" t="str">
        <f t="shared" ref="K9:K12" si="2">IF(F9=0,"",0)</f>
        <v/>
      </c>
      <c r="L9" s="95" t="str">
        <f t="shared" ref="L9:L12" si="3">IF(F9=0,"",K9*J9)</f>
        <v/>
      </c>
      <c r="M9" s="96" t="str">
        <f t="shared" ref="M9:M12" si="4">IF(F9=0,"",M$7)</f>
        <v/>
      </c>
      <c r="N9" s="97" t="str">
        <f t="shared" ref="N9:N12" si="5">IF(F9=0,"",0)</f>
        <v/>
      </c>
      <c r="O9" s="97" t="str">
        <f t="shared" ref="O9:O12" si="6">IF(F9=0,"",N9*J9)</f>
        <v/>
      </c>
      <c r="P9" s="95" t="str">
        <f t="shared" ref="P9:P12" si="7">IF(F9=0,"",O9*M9)</f>
        <v/>
      </c>
      <c r="Q9" s="98" t="str">
        <f t="shared" ref="Q9:Q12" si="8">IF(F9=0,"",L9+P9)</f>
        <v/>
      </c>
      <c r="R9" s="99"/>
    </row>
    <row r="10" spans="1:18" ht="18.899999999999999" customHeight="1" x14ac:dyDescent="0.3">
      <c r="A10" s="86" t="str">
        <f>IF(TRIM(H10)&lt;&gt;"",COUNTA(H$8:$H10)&amp;"","")</f>
        <v>1</v>
      </c>
      <c r="B10" s="241" t="s">
        <v>497</v>
      </c>
      <c r="C10" s="241" t="s">
        <v>492</v>
      </c>
      <c r="D10" s="259"/>
      <c r="E10" s="100" t="s">
        <v>956</v>
      </c>
      <c r="F10" s="90">
        <v>180</v>
      </c>
      <c r="H10" s="91" t="s">
        <v>184</v>
      </c>
      <c r="I10" s="92">
        <f t="shared" si="0"/>
        <v>0</v>
      </c>
      <c r="J10" s="93">
        <f t="shared" si="1"/>
        <v>180</v>
      </c>
      <c r="K10" s="94">
        <v>4.5</v>
      </c>
      <c r="L10" s="95">
        <f t="shared" si="3"/>
        <v>810</v>
      </c>
      <c r="M10" s="96">
        <f t="shared" si="4"/>
        <v>75</v>
      </c>
      <c r="N10" s="97">
        <v>7.4999999999999997E-2</v>
      </c>
      <c r="O10" s="97">
        <f t="shared" si="6"/>
        <v>13.5</v>
      </c>
      <c r="P10" s="95">
        <f t="shared" si="7"/>
        <v>1012.5</v>
      </c>
      <c r="Q10" s="98">
        <f t="shared" si="8"/>
        <v>1822.5</v>
      </c>
      <c r="R10" s="99"/>
    </row>
    <row r="11" spans="1:18" ht="18.899999999999999" customHeight="1" x14ac:dyDescent="0.3">
      <c r="A11" s="86" t="str">
        <f>IF(TRIM(H11)&lt;&gt;"",COUNTA(H$8:$H11)&amp;"","")</f>
        <v>2</v>
      </c>
      <c r="B11" s="243"/>
      <c r="C11" s="243"/>
      <c r="D11" s="261"/>
      <c r="E11" s="100" t="s">
        <v>957</v>
      </c>
      <c r="F11" s="90">
        <v>175</v>
      </c>
      <c r="H11" s="91" t="s">
        <v>210</v>
      </c>
      <c r="I11" s="92">
        <f t="shared" si="0"/>
        <v>0</v>
      </c>
      <c r="J11" s="93">
        <f t="shared" si="1"/>
        <v>175</v>
      </c>
      <c r="K11" s="94">
        <v>3.9</v>
      </c>
      <c r="L11" s="95">
        <f t="shared" si="3"/>
        <v>682.5</v>
      </c>
      <c r="M11" s="96">
        <f t="shared" si="4"/>
        <v>75</v>
      </c>
      <c r="N11" s="97">
        <v>6.5000000000000002E-2</v>
      </c>
      <c r="O11" s="97">
        <f t="shared" si="6"/>
        <v>11.375</v>
      </c>
      <c r="P11" s="95">
        <f t="shared" si="7"/>
        <v>853.125</v>
      </c>
      <c r="Q11" s="98">
        <f t="shared" si="8"/>
        <v>1535.625</v>
      </c>
      <c r="R11" s="99"/>
    </row>
    <row r="12" spans="1:18" ht="18.899999999999999" customHeight="1" thickBot="1" x14ac:dyDescent="0.35">
      <c r="A12" s="86" t="str">
        <f>IF(TRIM(H12)&lt;&gt;"",COUNTA(H$8:$H12)&amp;"","")</f>
        <v/>
      </c>
      <c r="B12" s="101"/>
      <c r="C12" s="101"/>
      <c r="D12" s="88"/>
      <c r="E12" s="102"/>
      <c r="F12" s="90"/>
      <c r="H12" s="91"/>
      <c r="I12" s="92" t="str">
        <f t="shared" si="0"/>
        <v/>
      </c>
      <c r="J12" s="93" t="str">
        <f t="shared" si="1"/>
        <v/>
      </c>
      <c r="K12" s="94" t="str">
        <f t="shared" si="2"/>
        <v/>
      </c>
      <c r="L12" s="95" t="str">
        <f t="shared" si="3"/>
        <v/>
      </c>
      <c r="M12" s="96" t="str">
        <f t="shared" si="4"/>
        <v/>
      </c>
      <c r="N12" s="97" t="str">
        <f t="shared" si="5"/>
        <v/>
      </c>
      <c r="O12" s="97" t="str">
        <f t="shared" si="6"/>
        <v/>
      </c>
      <c r="P12" s="95" t="str">
        <f t="shared" si="7"/>
        <v/>
      </c>
      <c r="Q12" s="98" t="str">
        <f t="shared" si="8"/>
        <v/>
      </c>
      <c r="R12" s="99"/>
    </row>
    <row r="13" spans="1:18" s="114" customFormat="1" ht="16.2" thickBot="1" x14ac:dyDescent="0.35">
      <c r="A13" s="86" t="str">
        <f>IF(TRIM(H13)&lt;&gt;"",COUNTA(H$8:$H13)&amp;"","")</f>
        <v/>
      </c>
      <c r="B13" s="103"/>
      <c r="C13" s="103"/>
      <c r="D13" s="104"/>
      <c r="E13" s="105"/>
      <c r="F13" s="106"/>
      <c r="H13" s="107"/>
      <c r="I13" s="108" t="s">
        <v>12</v>
      </c>
      <c r="J13" s="109"/>
      <c r="K13" s="110">
        <f>SUM(L$8:L$12)</f>
        <v>1492.5</v>
      </c>
      <c r="L13" s="190" t="s">
        <v>13</v>
      </c>
      <c r="M13" s="191"/>
      <c r="N13" s="111">
        <f>SUM(P$8:P$12)</f>
        <v>1865.625</v>
      </c>
      <c r="O13" s="190" t="s">
        <v>42</v>
      </c>
      <c r="P13" s="191"/>
      <c r="Q13" s="112">
        <f>SUM(O$8:O$12)</f>
        <v>24.875</v>
      </c>
      <c r="R13" s="113">
        <f>SUM(Q$8:Q$12)</f>
        <v>3358.125</v>
      </c>
    </row>
    <row r="14" spans="1:18" ht="15" thickBot="1" x14ac:dyDescent="0.35">
      <c r="A14" s="86" t="str">
        <f>IF(TRIM(H14)&lt;&gt;"",COUNTA(H$8:$H14)&amp;"","")</f>
        <v/>
      </c>
      <c r="B14" s="101"/>
      <c r="C14" s="101"/>
      <c r="D14" s="126"/>
      <c r="E14" s="102"/>
      <c r="F14" s="90"/>
      <c r="H14" s="91"/>
      <c r="I14" s="92" t="str">
        <f>IF(F14=0,"",0)</f>
        <v/>
      </c>
      <c r="J14" s="93" t="str">
        <f t="shared" ref="J14" si="9">IF(F14=0,"",F14+(F14*I14))</f>
        <v/>
      </c>
      <c r="K14" s="94" t="str">
        <f>IF(F14=0,"",0)</f>
        <v/>
      </c>
      <c r="L14" s="95" t="str">
        <f>IF(F14=0,"",K14*J14)</f>
        <v/>
      </c>
      <c r="M14" s="96" t="str">
        <f>IF(F14=0,"",M$7)</f>
        <v/>
      </c>
      <c r="N14" s="97" t="str">
        <f>IF(F14=0,"",0)</f>
        <v/>
      </c>
      <c r="O14" s="97" t="str">
        <f>IF(F14=0,"",N14*J14)</f>
        <v/>
      </c>
      <c r="P14" s="95" t="str">
        <f>IF(F14=0,"",O14*M14)</f>
        <v/>
      </c>
      <c r="Q14" s="98" t="str">
        <f>IF(F14=0,"",L14+P14)</f>
        <v/>
      </c>
      <c r="R14" s="99"/>
    </row>
    <row r="15" spans="1:18" s="114" customFormat="1" ht="16.2" thickBot="1" x14ac:dyDescent="0.35">
      <c r="A15" s="86" t="str">
        <f>IF(TRIM(H15)&lt;&gt;"",COUNTA(H$8:$H15)&amp;"","")</f>
        <v/>
      </c>
      <c r="B15" s="103"/>
      <c r="C15" s="103"/>
      <c r="D15" s="104"/>
      <c r="E15" s="105"/>
      <c r="F15" s="106"/>
      <c r="H15" s="107"/>
      <c r="I15" s="216" t="s">
        <v>207</v>
      </c>
      <c r="J15" s="218"/>
      <c r="K15" s="165">
        <f>SUM(L$8:L$14)</f>
        <v>1492.5</v>
      </c>
      <c r="L15" s="270" t="s">
        <v>208</v>
      </c>
      <c r="M15" s="271"/>
      <c r="N15" s="176">
        <f>SUM(P$8:P$14)</f>
        <v>1865.625</v>
      </c>
      <c r="O15" s="270" t="s">
        <v>209</v>
      </c>
      <c r="P15" s="271"/>
      <c r="Q15" s="176">
        <f>SUM(O$8:O$14)</f>
        <v>24.875</v>
      </c>
      <c r="R15" s="176">
        <f>SUM(R$8:R$14)</f>
        <v>3358.125</v>
      </c>
    </row>
    <row r="16" spans="1:18" ht="15" thickBot="1" x14ac:dyDescent="0.35">
      <c r="A16" s="86" t="str">
        <f>IF(TRIM(H16)&lt;&gt;"",COUNTA(H$8:$H16)&amp;"","")</f>
        <v/>
      </c>
      <c r="B16" s="87"/>
      <c r="C16" s="87"/>
      <c r="D16" s="117"/>
      <c r="E16" s="89"/>
      <c r="F16" s="90"/>
      <c r="H16" s="91"/>
      <c r="I16" s="92" t="str">
        <f>IF(F16=0,"",0)</f>
        <v/>
      </c>
      <c r="J16" s="93" t="str">
        <f t="shared" ref="J16" si="10">IF(F16=0,"",F16+(F16*I16))</f>
        <v/>
      </c>
      <c r="K16" s="94" t="str">
        <f>IF(F16=0,"",0)</f>
        <v/>
      </c>
      <c r="L16" s="95" t="str">
        <f>IF(F16=0,"",K16*J16)</f>
        <v/>
      </c>
      <c r="M16" s="96" t="str">
        <f>IF(F16=0,"",M$7)</f>
        <v/>
      </c>
      <c r="N16" s="97" t="str">
        <f>IF(F16=0,"",0)</f>
        <v/>
      </c>
      <c r="O16" s="97" t="str">
        <f>IF(F16=0,"",N16*J16)</f>
        <v/>
      </c>
      <c r="P16" s="95" t="str">
        <f>IF(F16=0,"",O16*M16)</f>
        <v/>
      </c>
      <c r="Q16" s="98" t="str">
        <f>IF(F16=0,"",L16+P16)</f>
        <v/>
      </c>
      <c r="R16" s="99"/>
    </row>
    <row r="17" spans="1:18" ht="20.100000000000001" customHeight="1" thickBot="1" x14ac:dyDescent="0.35">
      <c r="A17" s="235" t="s">
        <v>26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131">
        <f>SUM(L$8:$L$16)</f>
        <v>1492.5</v>
      </c>
    </row>
    <row r="18" spans="1:18" ht="20.100000000000001" customHeight="1" thickBot="1" x14ac:dyDescent="0.35">
      <c r="A18" s="235" t="s">
        <v>27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131">
        <f>SUM(P$8:P$16)</f>
        <v>1865.625</v>
      </c>
    </row>
    <row r="19" spans="1:18" ht="20.100000000000001" customHeight="1" thickBot="1" x14ac:dyDescent="0.35">
      <c r="A19" s="235" t="s">
        <v>203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132">
        <f>SUM(O$8:O$16)</f>
        <v>24.875</v>
      </c>
    </row>
    <row r="20" spans="1:18" ht="17.399999999999999" x14ac:dyDescent="0.3">
      <c r="A20" s="133"/>
      <c r="B20" s="134" t="s">
        <v>152</v>
      </c>
      <c r="C20" s="135"/>
      <c r="D20" s="136"/>
      <c r="E20" s="134"/>
      <c r="F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</row>
    <row r="21" spans="1:18" s="140" customFormat="1" ht="18" customHeight="1" x14ac:dyDescent="0.3">
      <c r="A21" s="139">
        <v>1</v>
      </c>
      <c r="B21" s="240" t="s">
        <v>226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1:18" s="140" customFormat="1" ht="18" customHeight="1" x14ac:dyDescent="0.3">
      <c r="A22" s="139">
        <v>2</v>
      </c>
      <c r="B22" s="240" t="s">
        <v>227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1:18" s="140" customFormat="1" ht="18" customHeight="1" x14ac:dyDescent="0.3">
      <c r="A23" s="139">
        <v>3</v>
      </c>
      <c r="B23" s="240" t="s">
        <v>154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1:18" s="140" customFormat="1" ht="18" customHeight="1" x14ac:dyDescent="0.3">
      <c r="A24" s="139">
        <v>4</v>
      </c>
      <c r="B24" s="240" t="s">
        <v>228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</row>
    <row r="25" spans="1:18" ht="21" thickBot="1" x14ac:dyDescent="0.35">
      <c r="A25" s="141"/>
      <c r="B25" s="142"/>
      <c r="C25" s="142"/>
      <c r="D25" s="143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2"/>
    </row>
  </sheetData>
  <mergeCells count="33">
    <mergeCell ref="B24:R24"/>
    <mergeCell ref="E25:R25"/>
    <mergeCell ref="A17:Q17"/>
    <mergeCell ref="A18:Q18"/>
    <mergeCell ref="A19:Q19"/>
    <mergeCell ref="B21:R21"/>
    <mergeCell ref="B22:R22"/>
    <mergeCell ref="B23:R23"/>
    <mergeCell ref="I15:J15"/>
    <mergeCell ref="L15:M15"/>
    <mergeCell ref="O15:P15"/>
    <mergeCell ref="A4:D5"/>
    <mergeCell ref="E4:M4"/>
    <mergeCell ref="N4:O4"/>
    <mergeCell ref="P4:R4"/>
    <mergeCell ref="F5:M5"/>
    <mergeCell ref="N5:O5"/>
    <mergeCell ref="P5:R5"/>
    <mergeCell ref="B10:B11"/>
    <mergeCell ref="C10:C11"/>
    <mergeCell ref="D10:D11"/>
    <mergeCell ref="L13:M13"/>
    <mergeCell ref="O13:P13"/>
    <mergeCell ref="A1:D3"/>
    <mergeCell ref="E1:M1"/>
    <mergeCell ref="N1:O1"/>
    <mergeCell ref="P1:R1"/>
    <mergeCell ref="E2:M2"/>
    <mergeCell ref="N2:O2"/>
    <mergeCell ref="P2:R2"/>
    <mergeCell ref="E3:M3"/>
    <mergeCell ref="N3:O3"/>
    <mergeCell ref="P3:R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1738-1561-4BC7-8DB9-2FE34FCBAD9E}">
  <sheetPr>
    <tabColor rgb="FFB9282E"/>
    <pageSetUpPr fitToPage="1"/>
  </sheetPr>
  <dimension ref="A1:R25"/>
  <sheetViews>
    <sheetView topLeftCell="A4" zoomScale="60" zoomScaleNormal="60" zoomScaleSheetLayoutView="85" workbookViewId="0">
      <selection activeCell="I15" sqref="I15:R15"/>
    </sheetView>
  </sheetViews>
  <sheetFormatPr defaultColWidth="8.88671875" defaultRowHeight="14.4" x14ac:dyDescent="0.3"/>
  <cols>
    <col min="1" max="1" width="6.109375" style="65" customWidth="1"/>
    <col min="2" max="2" width="12.44140625" style="65" customWidth="1"/>
    <col min="3" max="3" width="16.6640625" style="65" customWidth="1"/>
    <col min="4" max="4" width="12.88671875" style="144" bestFit="1" customWidth="1"/>
    <col min="5" max="5" width="82.6640625" style="145" bestFit="1" customWidth="1"/>
    <col min="6" max="6" width="11.5546875" style="146" customWidth="1"/>
    <col min="7" max="7" width="14.5546875" style="65" hidden="1" customWidth="1"/>
    <col min="8" max="8" width="11.6640625" style="147" customWidth="1"/>
    <col min="9" max="9" width="11.88671875" style="147" customWidth="1"/>
    <col min="10" max="10" width="18.6640625" style="146" customWidth="1"/>
    <col min="11" max="13" width="18.6640625" style="148" customWidth="1"/>
    <col min="14" max="15" width="18.6640625" style="149" customWidth="1"/>
    <col min="16" max="16" width="18.6640625" style="148" customWidth="1"/>
    <col min="17" max="17" width="18.6640625" style="150" customWidth="1"/>
    <col min="18" max="18" width="24.6640625" style="151" customWidth="1"/>
    <col min="19" max="19" width="12.33203125" style="65" bestFit="1" customWidth="1"/>
    <col min="20" max="20" width="8.88671875" style="65"/>
    <col min="21" max="21" width="14.5546875" style="65" bestFit="1" customWidth="1"/>
    <col min="22" max="16384" width="8.88671875" style="65"/>
  </cols>
  <sheetData>
    <row r="1" spans="1:18" ht="75" customHeight="1" thickBot="1" x14ac:dyDescent="0.35">
      <c r="A1" s="198"/>
      <c r="B1" s="199"/>
      <c r="C1" s="199"/>
      <c r="D1" s="200"/>
      <c r="E1" s="228" t="s">
        <v>947</v>
      </c>
      <c r="F1" s="229"/>
      <c r="G1" s="229"/>
      <c r="H1" s="229"/>
      <c r="I1" s="229"/>
      <c r="J1" s="229"/>
      <c r="K1" s="229"/>
      <c r="L1" s="229"/>
      <c r="M1" s="230"/>
      <c r="N1" s="219" t="s">
        <v>206</v>
      </c>
      <c r="O1" s="220"/>
      <c r="P1" s="216">
        <f>SUM(R$17+R$18)</f>
        <v>1859.625</v>
      </c>
      <c r="Q1" s="217"/>
      <c r="R1" s="218"/>
    </row>
    <row r="2" spans="1:18" ht="69.900000000000006" customHeight="1" thickBot="1" x14ac:dyDescent="0.35">
      <c r="A2" s="201"/>
      <c r="B2" s="202"/>
      <c r="C2" s="202"/>
      <c r="D2" s="203"/>
      <c r="E2" s="226" t="s">
        <v>948</v>
      </c>
      <c r="F2" s="227"/>
      <c r="G2" s="227"/>
      <c r="H2" s="227"/>
      <c r="I2" s="227"/>
      <c r="J2" s="227"/>
      <c r="K2" s="227"/>
      <c r="L2" s="227"/>
      <c r="M2" s="227"/>
      <c r="N2" s="219" t="s">
        <v>204</v>
      </c>
      <c r="O2" s="220"/>
      <c r="P2" s="216">
        <f>P$1*'Bid Recap &amp; Summary'!D$33</f>
        <v>185.96250000000001</v>
      </c>
      <c r="Q2" s="217"/>
      <c r="R2" s="218"/>
    </row>
    <row r="3" spans="1:18" ht="65.099999999999994" customHeight="1" thickBot="1" x14ac:dyDescent="0.35">
      <c r="A3" s="204"/>
      <c r="B3" s="205"/>
      <c r="C3" s="205"/>
      <c r="D3" s="206"/>
      <c r="E3" s="213" t="s">
        <v>961</v>
      </c>
      <c r="F3" s="214"/>
      <c r="G3" s="214"/>
      <c r="H3" s="214"/>
      <c r="I3" s="214"/>
      <c r="J3" s="214"/>
      <c r="K3" s="214"/>
      <c r="L3" s="214"/>
      <c r="M3" s="215"/>
      <c r="N3" s="219" t="s">
        <v>205</v>
      </c>
      <c r="O3" s="220"/>
      <c r="P3" s="216">
        <f>P$1*'Bid Recap &amp; Summary'!D$34</f>
        <v>185.96250000000001</v>
      </c>
      <c r="Q3" s="217"/>
      <c r="R3" s="218"/>
    </row>
    <row r="4" spans="1:18" ht="60" customHeight="1" thickBot="1" x14ac:dyDescent="0.35">
      <c r="A4" s="207"/>
      <c r="B4" s="208"/>
      <c r="C4" s="208"/>
      <c r="D4" s="209"/>
      <c r="E4" s="213" t="s">
        <v>225</v>
      </c>
      <c r="F4" s="214"/>
      <c r="G4" s="214"/>
      <c r="H4" s="214"/>
      <c r="I4" s="214"/>
      <c r="J4" s="214"/>
      <c r="K4" s="214"/>
      <c r="L4" s="214"/>
      <c r="M4" s="215"/>
      <c r="N4" s="221" t="s">
        <v>186</v>
      </c>
      <c r="O4" s="223"/>
      <c r="P4" s="216"/>
      <c r="Q4" s="217"/>
      <c r="R4" s="218"/>
    </row>
    <row r="5" spans="1:18" ht="60" customHeight="1" thickBot="1" x14ac:dyDescent="0.35">
      <c r="A5" s="210"/>
      <c r="B5" s="211"/>
      <c r="C5" s="211"/>
      <c r="D5" s="212"/>
      <c r="E5" s="166" t="s">
        <v>153</v>
      </c>
      <c r="F5" s="224">
        <f ca="1">TODAY()</f>
        <v>45569</v>
      </c>
      <c r="G5" s="224"/>
      <c r="H5" s="224"/>
      <c r="I5" s="224"/>
      <c r="J5" s="224"/>
      <c r="K5" s="224"/>
      <c r="L5" s="224"/>
      <c r="M5" s="225"/>
      <c r="N5" s="221" t="s">
        <v>978</v>
      </c>
      <c r="O5" s="223"/>
      <c r="P5" s="221">
        <f>SUM(P$1:R$4)</f>
        <v>2231.5500000000002</v>
      </c>
      <c r="Q5" s="222"/>
      <c r="R5" s="223"/>
    </row>
    <row r="6" spans="1:18" ht="50.1" customHeight="1" thickBot="1" x14ac:dyDescent="0.35">
      <c r="A6" s="66" t="s">
        <v>0</v>
      </c>
      <c r="B6" s="66" t="s">
        <v>10</v>
      </c>
      <c r="C6" s="67" t="s">
        <v>11</v>
      </c>
      <c r="D6" s="68" t="s">
        <v>43</v>
      </c>
      <c r="E6" s="66" t="s">
        <v>1</v>
      </c>
      <c r="F6" s="69" t="s">
        <v>2</v>
      </c>
      <c r="H6" s="66" t="s">
        <v>3</v>
      </c>
      <c r="I6" s="66" t="s">
        <v>169</v>
      </c>
      <c r="J6" s="69" t="s">
        <v>167</v>
      </c>
      <c r="K6" s="70" t="s">
        <v>9</v>
      </c>
      <c r="L6" s="70" t="s">
        <v>4</v>
      </c>
      <c r="M6" s="70" t="s">
        <v>168</v>
      </c>
      <c r="N6" s="71" t="s">
        <v>6</v>
      </c>
      <c r="O6" s="71" t="s">
        <v>7</v>
      </c>
      <c r="P6" s="72" t="s">
        <v>5</v>
      </c>
      <c r="Q6" s="73" t="s">
        <v>8</v>
      </c>
      <c r="R6" s="74"/>
    </row>
    <row r="7" spans="1:18" ht="30" customHeight="1" thickBot="1" x14ac:dyDescent="0.35">
      <c r="A7" s="75"/>
      <c r="B7" s="76"/>
      <c r="C7" s="76"/>
      <c r="D7" s="76"/>
      <c r="E7" s="76"/>
      <c r="F7" s="77"/>
      <c r="H7" s="77"/>
      <c r="I7" s="76"/>
      <c r="J7" s="77"/>
      <c r="K7" s="76"/>
      <c r="L7" s="78"/>
      <c r="M7" s="79">
        <v>75</v>
      </c>
      <c r="N7" s="80"/>
      <c r="O7" s="80"/>
      <c r="P7" s="81"/>
      <c r="Q7" s="82"/>
      <c r="R7" s="83"/>
    </row>
    <row r="8" spans="1:18" s="299" customFormat="1" ht="19.2" customHeight="1" x14ac:dyDescent="0.3">
      <c r="A8" s="295" t="str">
        <f>IF(TRIM(H8)&lt;&gt;"",COUNTA(H$8:$H8)&amp;"","")</f>
        <v/>
      </c>
      <c r="B8" s="296"/>
      <c r="C8" s="296"/>
      <c r="D8" s="297">
        <v>70000</v>
      </c>
      <c r="E8" s="297" t="s">
        <v>151</v>
      </c>
      <c r="F8" s="298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300"/>
    </row>
    <row r="9" spans="1:18" s="116" customFormat="1" ht="19.2" customHeight="1" x14ac:dyDescent="0.3">
      <c r="A9" s="86" t="str">
        <f>IF(TRIM(H9)&lt;&gt;"",COUNTA(H$8:$H9)&amp;"","")</f>
        <v/>
      </c>
      <c r="B9" s="115"/>
      <c r="C9" s="115"/>
      <c r="D9" s="88"/>
      <c r="E9" s="175" t="s">
        <v>955</v>
      </c>
      <c r="F9" s="90"/>
      <c r="H9" s="91"/>
      <c r="I9" s="92" t="str">
        <f t="shared" ref="I9:I12" si="0">IF(F9=0,"",0)</f>
        <v/>
      </c>
      <c r="J9" s="93" t="str">
        <f t="shared" ref="J9:J12" si="1">IF(F9=0,"",F9+(F9*I9))</f>
        <v/>
      </c>
      <c r="K9" s="94" t="str">
        <f t="shared" ref="K9:K12" si="2">IF(F9=0,"",0)</f>
        <v/>
      </c>
      <c r="L9" s="95" t="str">
        <f t="shared" ref="L9:L12" si="3">IF(F9=0,"",K9*J9)</f>
        <v/>
      </c>
      <c r="M9" s="96" t="str">
        <f t="shared" ref="M9:M12" si="4">IF(F9=0,"",M$7)</f>
        <v/>
      </c>
      <c r="N9" s="97" t="str">
        <f t="shared" ref="N9:N12" si="5">IF(F9=0,"",0)</f>
        <v/>
      </c>
      <c r="O9" s="97" t="str">
        <f t="shared" ref="O9:O12" si="6">IF(F9=0,"",N9*J9)</f>
        <v/>
      </c>
      <c r="P9" s="95" t="str">
        <f t="shared" ref="P9:P12" si="7">IF(F9=0,"",O9*M9)</f>
        <v/>
      </c>
      <c r="Q9" s="98" t="str">
        <f t="shared" ref="Q9:Q12" si="8">IF(F9=0,"",L9+P9)</f>
        <v/>
      </c>
      <c r="R9" s="99"/>
    </row>
    <row r="10" spans="1:18" ht="18.899999999999999" customHeight="1" x14ac:dyDescent="0.3">
      <c r="A10" s="86" t="str">
        <f>IF(TRIM(H10)&lt;&gt;"",COUNTA(H$8:$H10)&amp;"","")</f>
        <v>1</v>
      </c>
      <c r="B10" s="241" t="s">
        <v>497</v>
      </c>
      <c r="C10" s="241" t="s">
        <v>492</v>
      </c>
      <c r="D10" s="259"/>
      <c r="E10" s="100" t="s">
        <v>956</v>
      </c>
      <c r="F10" s="90">
        <v>71</v>
      </c>
      <c r="H10" s="91" t="s">
        <v>184</v>
      </c>
      <c r="I10" s="92">
        <f t="shared" si="0"/>
        <v>0</v>
      </c>
      <c r="J10" s="93">
        <f t="shared" si="1"/>
        <v>71</v>
      </c>
      <c r="K10" s="94">
        <v>4.5</v>
      </c>
      <c r="L10" s="95">
        <f t="shared" si="3"/>
        <v>319.5</v>
      </c>
      <c r="M10" s="96">
        <f t="shared" si="4"/>
        <v>75</v>
      </c>
      <c r="N10" s="97">
        <v>7.4999999999999997E-2</v>
      </c>
      <c r="O10" s="97">
        <f t="shared" si="6"/>
        <v>5.3250000000000002</v>
      </c>
      <c r="P10" s="95">
        <f t="shared" si="7"/>
        <v>399.375</v>
      </c>
      <c r="Q10" s="98">
        <f t="shared" si="8"/>
        <v>718.875</v>
      </c>
      <c r="R10" s="99"/>
    </row>
    <row r="11" spans="1:18" ht="18.899999999999999" customHeight="1" x14ac:dyDescent="0.3">
      <c r="A11" s="86" t="str">
        <f>IF(TRIM(H11)&lt;&gt;"",COUNTA(H$8:$H11)&amp;"","")</f>
        <v>2</v>
      </c>
      <c r="B11" s="243"/>
      <c r="C11" s="243"/>
      <c r="D11" s="261"/>
      <c r="E11" s="100" t="s">
        <v>957</v>
      </c>
      <c r="F11" s="90">
        <v>130</v>
      </c>
      <c r="H11" s="91" t="s">
        <v>210</v>
      </c>
      <c r="I11" s="92">
        <f t="shared" si="0"/>
        <v>0</v>
      </c>
      <c r="J11" s="93">
        <f t="shared" si="1"/>
        <v>130</v>
      </c>
      <c r="K11" s="94">
        <v>3.9</v>
      </c>
      <c r="L11" s="95">
        <f t="shared" si="3"/>
        <v>507</v>
      </c>
      <c r="M11" s="96">
        <f t="shared" si="4"/>
        <v>75</v>
      </c>
      <c r="N11" s="97">
        <v>6.5000000000000002E-2</v>
      </c>
      <c r="O11" s="97">
        <f t="shared" si="6"/>
        <v>8.4500000000000011</v>
      </c>
      <c r="P11" s="95">
        <f t="shared" si="7"/>
        <v>633.75000000000011</v>
      </c>
      <c r="Q11" s="98">
        <f t="shared" si="8"/>
        <v>1140.75</v>
      </c>
      <c r="R11" s="99"/>
    </row>
    <row r="12" spans="1:18" ht="18.899999999999999" customHeight="1" thickBot="1" x14ac:dyDescent="0.35">
      <c r="A12" s="86" t="str">
        <f>IF(TRIM(H12)&lt;&gt;"",COUNTA(H$8:$H12)&amp;"","")</f>
        <v/>
      </c>
      <c r="B12" s="101"/>
      <c r="C12" s="101"/>
      <c r="D12" s="88"/>
      <c r="E12" s="102"/>
      <c r="F12" s="90"/>
      <c r="H12" s="91"/>
      <c r="I12" s="92" t="str">
        <f t="shared" si="0"/>
        <v/>
      </c>
      <c r="J12" s="93" t="str">
        <f t="shared" si="1"/>
        <v/>
      </c>
      <c r="K12" s="94" t="str">
        <f t="shared" si="2"/>
        <v/>
      </c>
      <c r="L12" s="95" t="str">
        <f t="shared" si="3"/>
        <v/>
      </c>
      <c r="M12" s="96" t="str">
        <f t="shared" si="4"/>
        <v/>
      </c>
      <c r="N12" s="97" t="str">
        <f t="shared" si="5"/>
        <v/>
      </c>
      <c r="O12" s="97" t="str">
        <f t="shared" si="6"/>
        <v/>
      </c>
      <c r="P12" s="95" t="str">
        <f t="shared" si="7"/>
        <v/>
      </c>
      <c r="Q12" s="98" t="str">
        <f t="shared" si="8"/>
        <v/>
      </c>
      <c r="R12" s="99"/>
    </row>
    <row r="13" spans="1:18" s="114" customFormat="1" ht="16.2" thickBot="1" x14ac:dyDescent="0.35">
      <c r="A13" s="86" t="str">
        <f>IF(TRIM(H13)&lt;&gt;"",COUNTA(H$8:$H13)&amp;"","")</f>
        <v/>
      </c>
      <c r="B13" s="103"/>
      <c r="C13" s="103"/>
      <c r="D13" s="104"/>
      <c r="E13" s="105"/>
      <c r="F13" s="106"/>
      <c r="H13" s="107"/>
      <c r="I13" s="108" t="s">
        <v>12</v>
      </c>
      <c r="J13" s="109"/>
      <c r="K13" s="110">
        <f>SUM(L$8:L$12)</f>
        <v>826.5</v>
      </c>
      <c r="L13" s="190" t="s">
        <v>13</v>
      </c>
      <c r="M13" s="191"/>
      <c r="N13" s="111">
        <f>SUM(P$8:P$12)</f>
        <v>1033.125</v>
      </c>
      <c r="O13" s="190" t="s">
        <v>42</v>
      </c>
      <c r="P13" s="191"/>
      <c r="Q13" s="112">
        <f>SUM(O$8:O$12)</f>
        <v>13.775000000000002</v>
      </c>
      <c r="R13" s="113">
        <f>SUM(Q$8:Q$12)</f>
        <v>1859.625</v>
      </c>
    </row>
    <row r="14" spans="1:18" ht="15" thickBot="1" x14ac:dyDescent="0.35">
      <c r="A14" s="86" t="str">
        <f>IF(TRIM(H14)&lt;&gt;"",COUNTA(H$8:$H14)&amp;"","")</f>
        <v/>
      </c>
      <c r="B14" s="101"/>
      <c r="C14" s="101"/>
      <c r="D14" s="126"/>
      <c r="E14" s="102"/>
      <c r="F14" s="90"/>
      <c r="H14" s="91"/>
      <c r="I14" s="92" t="str">
        <f>IF(F14=0,"",0)</f>
        <v/>
      </c>
      <c r="J14" s="93" t="str">
        <f t="shared" ref="J14" si="9">IF(F14=0,"",F14+(F14*I14))</f>
        <v/>
      </c>
      <c r="K14" s="94" t="str">
        <f>IF(F14=0,"",0)</f>
        <v/>
      </c>
      <c r="L14" s="95" t="str">
        <f>IF(F14=0,"",K14*J14)</f>
        <v/>
      </c>
      <c r="M14" s="96" t="str">
        <f>IF(F14=0,"",M$7)</f>
        <v/>
      </c>
      <c r="N14" s="97" t="str">
        <f>IF(F14=0,"",0)</f>
        <v/>
      </c>
      <c r="O14" s="97" t="str">
        <f>IF(F14=0,"",N14*J14)</f>
        <v/>
      </c>
      <c r="P14" s="95" t="str">
        <f>IF(F14=0,"",O14*M14)</f>
        <v/>
      </c>
      <c r="Q14" s="98" t="str">
        <f>IF(F14=0,"",L14+P14)</f>
        <v/>
      </c>
      <c r="R14" s="99"/>
    </row>
    <row r="15" spans="1:18" s="114" customFormat="1" ht="16.2" thickBot="1" x14ac:dyDescent="0.35">
      <c r="A15" s="86" t="str">
        <f>IF(TRIM(H15)&lt;&gt;"",COUNTA(H$8:$H15)&amp;"","")</f>
        <v/>
      </c>
      <c r="B15" s="103"/>
      <c r="C15" s="103"/>
      <c r="D15" s="104"/>
      <c r="E15" s="105"/>
      <c r="F15" s="106"/>
      <c r="H15" s="107"/>
      <c r="I15" s="216" t="s">
        <v>207</v>
      </c>
      <c r="J15" s="218"/>
      <c r="K15" s="165">
        <f>SUM(L$8:L$14)</f>
        <v>826.5</v>
      </c>
      <c r="L15" s="270" t="s">
        <v>208</v>
      </c>
      <c r="M15" s="271"/>
      <c r="N15" s="176">
        <f>SUM(P$8:P$14)</f>
        <v>1033.125</v>
      </c>
      <c r="O15" s="270" t="s">
        <v>209</v>
      </c>
      <c r="P15" s="271"/>
      <c r="Q15" s="176">
        <f>SUM(O$8:O$14)</f>
        <v>13.775000000000002</v>
      </c>
      <c r="R15" s="176">
        <f>SUM(R$8:R$14)</f>
        <v>1859.625</v>
      </c>
    </row>
    <row r="16" spans="1:18" ht="15" thickBot="1" x14ac:dyDescent="0.35">
      <c r="A16" s="86" t="str">
        <f>IF(TRIM(H16)&lt;&gt;"",COUNTA(H$8:$H16)&amp;"","")</f>
        <v/>
      </c>
      <c r="B16" s="87"/>
      <c r="C16" s="87"/>
      <c r="D16" s="117"/>
      <c r="E16" s="89"/>
      <c r="F16" s="90"/>
      <c r="H16" s="91"/>
      <c r="I16" s="92" t="str">
        <f>IF(F16=0,"",0)</f>
        <v/>
      </c>
      <c r="J16" s="93" t="str">
        <f t="shared" ref="J16" si="10">IF(F16=0,"",F16+(F16*I16))</f>
        <v/>
      </c>
      <c r="K16" s="94" t="str">
        <f>IF(F16=0,"",0)</f>
        <v/>
      </c>
      <c r="L16" s="95" t="str">
        <f>IF(F16=0,"",K16*J16)</f>
        <v/>
      </c>
      <c r="M16" s="96" t="str">
        <f>IF(F16=0,"",M$7)</f>
        <v/>
      </c>
      <c r="N16" s="97" t="str">
        <f>IF(F16=0,"",0)</f>
        <v/>
      </c>
      <c r="O16" s="97" t="str">
        <f>IF(F16=0,"",N16*J16)</f>
        <v/>
      </c>
      <c r="P16" s="95" t="str">
        <f>IF(F16=0,"",O16*M16)</f>
        <v/>
      </c>
      <c r="Q16" s="98" t="str">
        <f>IF(F16=0,"",L16+P16)</f>
        <v/>
      </c>
      <c r="R16" s="99"/>
    </row>
    <row r="17" spans="1:18" ht="20.100000000000001" customHeight="1" thickBot="1" x14ac:dyDescent="0.35">
      <c r="A17" s="235" t="s">
        <v>26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131">
        <f>SUM(L$8:$L$16)</f>
        <v>826.5</v>
      </c>
    </row>
    <row r="18" spans="1:18" ht="20.100000000000001" customHeight="1" thickBot="1" x14ac:dyDescent="0.35">
      <c r="A18" s="235" t="s">
        <v>27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131">
        <f>SUM(P$8:P$16)</f>
        <v>1033.125</v>
      </c>
    </row>
    <row r="19" spans="1:18" ht="20.100000000000001" customHeight="1" thickBot="1" x14ac:dyDescent="0.35">
      <c r="A19" s="235" t="s">
        <v>203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132">
        <f>SUM(O$8:O$16)</f>
        <v>13.775000000000002</v>
      </c>
    </row>
    <row r="20" spans="1:18" ht="17.399999999999999" x14ac:dyDescent="0.3">
      <c r="A20" s="133"/>
      <c r="B20" s="134" t="s">
        <v>152</v>
      </c>
      <c r="C20" s="135"/>
      <c r="D20" s="136"/>
      <c r="E20" s="134"/>
      <c r="F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</row>
    <row r="21" spans="1:18" s="140" customFormat="1" ht="18" customHeight="1" x14ac:dyDescent="0.3">
      <c r="A21" s="139">
        <v>1</v>
      </c>
      <c r="B21" s="240" t="s">
        <v>226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1:18" s="140" customFormat="1" ht="18" customHeight="1" x14ac:dyDescent="0.3">
      <c r="A22" s="139">
        <v>2</v>
      </c>
      <c r="B22" s="240" t="s">
        <v>227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1:18" s="140" customFormat="1" ht="18" customHeight="1" x14ac:dyDescent="0.3">
      <c r="A23" s="139">
        <v>3</v>
      </c>
      <c r="B23" s="240" t="s">
        <v>154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1:18" s="140" customFormat="1" ht="18" customHeight="1" x14ac:dyDescent="0.3">
      <c r="A24" s="139">
        <v>4</v>
      </c>
      <c r="B24" s="240" t="s">
        <v>228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</row>
    <row r="25" spans="1:18" ht="21" thickBot="1" x14ac:dyDescent="0.35">
      <c r="A25" s="141"/>
      <c r="B25" s="142"/>
      <c r="C25" s="142"/>
      <c r="D25" s="143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2"/>
    </row>
  </sheetData>
  <mergeCells count="33">
    <mergeCell ref="B24:R24"/>
    <mergeCell ref="E25:R25"/>
    <mergeCell ref="A17:Q17"/>
    <mergeCell ref="A18:Q18"/>
    <mergeCell ref="A19:Q19"/>
    <mergeCell ref="B21:R21"/>
    <mergeCell ref="B22:R22"/>
    <mergeCell ref="B23:R23"/>
    <mergeCell ref="I15:J15"/>
    <mergeCell ref="L15:M15"/>
    <mergeCell ref="O15:P15"/>
    <mergeCell ref="A4:D5"/>
    <mergeCell ref="E4:M4"/>
    <mergeCell ref="N4:O4"/>
    <mergeCell ref="P4:R4"/>
    <mergeCell ref="F5:M5"/>
    <mergeCell ref="N5:O5"/>
    <mergeCell ref="P5:R5"/>
    <mergeCell ref="B10:B11"/>
    <mergeCell ref="C10:C11"/>
    <mergeCell ref="D10:D11"/>
    <mergeCell ref="L13:M13"/>
    <mergeCell ref="O13:P13"/>
    <mergeCell ref="A1:D3"/>
    <mergeCell ref="E1:M1"/>
    <mergeCell ref="N1:O1"/>
    <mergeCell ref="P1:R1"/>
    <mergeCell ref="E2:M2"/>
    <mergeCell ref="N2:O2"/>
    <mergeCell ref="P2:R2"/>
    <mergeCell ref="E3:M3"/>
    <mergeCell ref="N3:O3"/>
    <mergeCell ref="P3:R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6581C6A-8C0D-437B-95A8-9AC8543FA8DC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Bid Recap &amp; Summary</vt:lpstr>
      <vt:lpstr>Estimate</vt:lpstr>
      <vt:lpstr>ALTERNATE 1</vt:lpstr>
      <vt:lpstr>ALTERNATE 2</vt:lpstr>
      <vt:lpstr>ALTERNATE 3 - HUT</vt:lpstr>
      <vt:lpstr>ALTERNATE 4 - VESTIBULE</vt:lpstr>
      <vt:lpstr>ALTERNATE 5 - IT OFFICE</vt:lpstr>
      <vt:lpstr>'ALTERNATE 1'!Print_Area</vt:lpstr>
      <vt:lpstr>'ALTERNATE 2'!Print_Area</vt:lpstr>
      <vt:lpstr>'ALTERNATE 3 - HUT'!Print_Area</vt:lpstr>
      <vt:lpstr>'ALTERNATE 4 - VESTIBULE'!Print_Area</vt:lpstr>
      <vt:lpstr>'ALTERNATE 5 - IT OFFICE'!Print_Area</vt:lpstr>
      <vt:lpstr>'Bid Recap &amp; Summary'!Print_Area</vt:lpstr>
      <vt:lpstr>Estimate!Print_Area</vt:lpstr>
      <vt:lpstr>'ALTERNATE 1'!Print_Titles</vt:lpstr>
      <vt:lpstr>'ALTERNATE 2'!Print_Titles</vt:lpstr>
      <vt:lpstr>'ALTERNATE 3 - HUT'!Print_Titles</vt:lpstr>
      <vt:lpstr>'ALTERNATE 4 - VESTIBULE'!Print_Titles</vt:lpstr>
      <vt:lpstr>'ALTERNATE 5 - IT OFFICE'!Print_Titles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{16581C6A-8C0D-437B-95A8-9AC8543FA8DC}</vt:lpwstr>
  </property>
</Properties>
</file>