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03E48B08-750E-452F-92A9-A9E13C3C86C3}" xr6:coauthVersionLast="47" xr6:coauthVersionMax="47" xr10:uidLastSave="{00000000-0000-0000-0000-000000000000}"/>
  <bookViews>
    <workbookView xWindow="-108" yWindow="-108" windowWidth="23256" windowHeight="12456" activeTab="1" xr2:uid="{5115D173-0769-45E6-97A5-BE3ED292126D}"/>
  </bookViews>
  <sheets>
    <sheet name="Bid Recap &amp; Summary" sheetId="2" r:id="rId1"/>
    <sheet name="Estimate" sheetId="1" r:id="rId2"/>
  </sheets>
  <definedNames>
    <definedName name="_xlnm._FilterDatabase" localSheetId="1" hidden="1">Estimate!$A$6:$U$359</definedName>
    <definedName name="_xlnm.Print_Area" localSheetId="0">'Bid Recap &amp; Summary'!$A$1:$M$36</definedName>
    <definedName name="_xlnm.Print_Area" localSheetId="1">Estimate!$A$1:$R$360</definedName>
    <definedName name="_xlnm.Print_Titles" localSheetId="1">Estimate!$1:$6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5" i="1" l="1"/>
  <c r="L308" i="1"/>
  <c r="F163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294" i="1"/>
  <c r="A293" i="1"/>
  <c r="A282" i="1"/>
  <c r="A283" i="1"/>
  <c r="A284" i="1"/>
  <c r="A285" i="1"/>
  <c r="A286" i="1"/>
  <c r="A287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8" i="1"/>
  <c r="A289" i="1"/>
  <c r="A290" i="1"/>
  <c r="A224" i="1"/>
  <c r="A223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171" i="1"/>
  <c r="A170" i="1"/>
  <c r="Q346" i="1"/>
  <c r="P346" i="1"/>
  <c r="O346" i="1"/>
  <c r="N346" i="1"/>
  <c r="M346" i="1"/>
  <c r="L346" i="1"/>
  <c r="K346" i="1"/>
  <c r="J346" i="1"/>
  <c r="I346" i="1"/>
  <c r="Q345" i="1"/>
  <c r="P345" i="1"/>
  <c r="O345" i="1"/>
  <c r="N345" i="1"/>
  <c r="M345" i="1"/>
  <c r="L345" i="1"/>
  <c r="K345" i="1"/>
  <c r="J345" i="1"/>
  <c r="I345" i="1"/>
  <c r="Q344" i="1"/>
  <c r="P344" i="1"/>
  <c r="O344" i="1"/>
  <c r="N344" i="1"/>
  <c r="M344" i="1"/>
  <c r="L344" i="1"/>
  <c r="K344" i="1"/>
  <c r="J344" i="1"/>
  <c r="I344" i="1"/>
  <c r="I343" i="1"/>
  <c r="J343" i="1" s="1"/>
  <c r="I342" i="1"/>
  <c r="J342" i="1" s="1"/>
  <c r="Q341" i="1"/>
  <c r="P341" i="1"/>
  <c r="O341" i="1"/>
  <c r="M341" i="1"/>
  <c r="L341" i="1"/>
  <c r="J341" i="1"/>
  <c r="I341" i="1"/>
  <c r="Q340" i="1"/>
  <c r="P340" i="1"/>
  <c r="O340" i="1"/>
  <c r="M340" i="1"/>
  <c r="L340" i="1"/>
  <c r="J340" i="1"/>
  <c r="I340" i="1"/>
  <c r="L339" i="1"/>
  <c r="J339" i="1"/>
  <c r="L338" i="1"/>
  <c r="J338" i="1"/>
  <c r="Q337" i="1"/>
  <c r="P337" i="1"/>
  <c r="O337" i="1"/>
  <c r="M337" i="1"/>
  <c r="L337" i="1"/>
  <c r="J337" i="1"/>
  <c r="I337" i="1"/>
  <c r="Q336" i="1"/>
  <c r="P336" i="1"/>
  <c r="O336" i="1"/>
  <c r="M336" i="1"/>
  <c r="L336" i="1"/>
  <c r="J336" i="1"/>
  <c r="I336" i="1"/>
  <c r="Q335" i="1"/>
  <c r="P335" i="1"/>
  <c r="O335" i="1"/>
  <c r="M335" i="1"/>
  <c r="L335" i="1"/>
  <c r="J335" i="1"/>
  <c r="I335" i="1"/>
  <c r="I334" i="1"/>
  <c r="J334" i="1" s="1"/>
  <c r="O334" i="1" s="1"/>
  <c r="I333" i="1"/>
  <c r="J333" i="1" s="1"/>
  <c r="O332" i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Q325" i="1"/>
  <c r="P325" i="1"/>
  <c r="O325" i="1"/>
  <c r="M325" i="1"/>
  <c r="L325" i="1"/>
  <c r="J325" i="1"/>
  <c r="I325" i="1"/>
  <c r="Q324" i="1"/>
  <c r="P324" i="1"/>
  <c r="O324" i="1"/>
  <c r="M324" i="1"/>
  <c r="L324" i="1"/>
  <c r="J324" i="1"/>
  <c r="I324" i="1"/>
  <c r="I323" i="1"/>
  <c r="J323" i="1" s="1"/>
  <c r="I322" i="1"/>
  <c r="J322" i="1" s="1"/>
  <c r="Q321" i="1"/>
  <c r="P321" i="1"/>
  <c r="O321" i="1"/>
  <c r="M321" i="1"/>
  <c r="L321" i="1"/>
  <c r="J321" i="1"/>
  <c r="I321" i="1"/>
  <c r="Q320" i="1"/>
  <c r="P320" i="1"/>
  <c r="O320" i="1"/>
  <c r="M320" i="1"/>
  <c r="L320" i="1"/>
  <c r="J320" i="1"/>
  <c r="I320" i="1"/>
  <c r="I319" i="1"/>
  <c r="J319" i="1" s="1"/>
  <c r="I318" i="1"/>
  <c r="J318" i="1" s="1"/>
  <c r="I317" i="1"/>
  <c r="J317" i="1" s="1"/>
  <c r="I316" i="1"/>
  <c r="J316" i="1" s="1"/>
  <c r="I315" i="1"/>
  <c r="J315" i="1" s="1"/>
  <c r="J314" i="1"/>
  <c r="I314" i="1"/>
  <c r="I313" i="1"/>
  <c r="J313" i="1" s="1"/>
  <c r="Q312" i="1"/>
  <c r="P312" i="1"/>
  <c r="O312" i="1"/>
  <c r="M312" i="1"/>
  <c r="L312" i="1"/>
  <c r="J312" i="1"/>
  <c r="I312" i="1"/>
  <c r="Q311" i="1"/>
  <c r="P311" i="1"/>
  <c r="O311" i="1"/>
  <c r="M311" i="1"/>
  <c r="L311" i="1"/>
  <c r="J311" i="1"/>
  <c r="I311" i="1"/>
  <c r="Q310" i="1"/>
  <c r="P310" i="1"/>
  <c r="O310" i="1"/>
  <c r="M310" i="1"/>
  <c r="L310" i="1"/>
  <c r="J310" i="1"/>
  <c r="I310" i="1"/>
  <c r="J309" i="1"/>
  <c r="J308" i="1"/>
  <c r="Q307" i="1"/>
  <c r="P307" i="1"/>
  <c r="O307" i="1"/>
  <c r="M307" i="1"/>
  <c r="L307" i="1"/>
  <c r="J307" i="1"/>
  <c r="I307" i="1"/>
  <c r="Q306" i="1"/>
  <c r="P306" i="1"/>
  <c r="O306" i="1"/>
  <c r="M306" i="1"/>
  <c r="L306" i="1"/>
  <c r="J306" i="1"/>
  <c r="I306" i="1"/>
  <c r="J305" i="1"/>
  <c r="J304" i="1"/>
  <c r="Q303" i="1"/>
  <c r="P303" i="1"/>
  <c r="O303" i="1"/>
  <c r="M303" i="1"/>
  <c r="L303" i="1"/>
  <c r="J303" i="1"/>
  <c r="I303" i="1"/>
  <c r="Q302" i="1"/>
  <c r="P302" i="1"/>
  <c r="O302" i="1"/>
  <c r="M302" i="1"/>
  <c r="L302" i="1"/>
  <c r="J302" i="1"/>
  <c r="I302" i="1"/>
  <c r="J301" i="1"/>
  <c r="Q300" i="1"/>
  <c r="P300" i="1"/>
  <c r="O300" i="1"/>
  <c r="M300" i="1"/>
  <c r="L300" i="1"/>
  <c r="J300" i="1"/>
  <c r="I300" i="1"/>
  <c r="Q299" i="1"/>
  <c r="P299" i="1"/>
  <c r="O299" i="1"/>
  <c r="M299" i="1"/>
  <c r="L299" i="1"/>
  <c r="J299" i="1"/>
  <c r="I299" i="1"/>
  <c r="J298" i="1"/>
  <c r="Q297" i="1"/>
  <c r="P297" i="1"/>
  <c r="O297" i="1"/>
  <c r="M297" i="1"/>
  <c r="L297" i="1"/>
  <c r="J297" i="1"/>
  <c r="I297" i="1"/>
  <c r="Q296" i="1"/>
  <c r="P296" i="1"/>
  <c r="O296" i="1"/>
  <c r="M296" i="1"/>
  <c r="L296" i="1"/>
  <c r="J296" i="1"/>
  <c r="I296" i="1"/>
  <c r="Q295" i="1"/>
  <c r="P295" i="1"/>
  <c r="O295" i="1"/>
  <c r="M295" i="1"/>
  <c r="L295" i="1"/>
  <c r="J295" i="1"/>
  <c r="I295" i="1"/>
  <c r="I294" i="1"/>
  <c r="J294" i="1" s="1"/>
  <c r="Q289" i="1"/>
  <c r="P289" i="1"/>
  <c r="O289" i="1"/>
  <c r="N289" i="1"/>
  <c r="M289" i="1"/>
  <c r="L289" i="1"/>
  <c r="K289" i="1"/>
  <c r="J289" i="1"/>
  <c r="I289" i="1"/>
  <c r="Q288" i="1"/>
  <c r="P288" i="1"/>
  <c r="O288" i="1"/>
  <c r="N288" i="1"/>
  <c r="M288" i="1"/>
  <c r="L288" i="1"/>
  <c r="K288" i="1"/>
  <c r="J288" i="1"/>
  <c r="I288" i="1"/>
  <c r="Q287" i="1"/>
  <c r="P287" i="1"/>
  <c r="O287" i="1"/>
  <c r="N287" i="1"/>
  <c r="M287" i="1"/>
  <c r="L287" i="1"/>
  <c r="K287" i="1"/>
  <c r="J287" i="1"/>
  <c r="I287" i="1"/>
  <c r="Q286" i="1"/>
  <c r="P286" i="1"/>
  <c r="O286" i="1"/>
  <c r="N286" i="1"/>
  <c r="M286" i="1"/>
  <c r="L286" i="1"/>
  <c r="K286" i="1"/>
  <c r="J286" i="1"/>
  <c r="I286" i="1"/>
  <c r="F285" i="1"/>
  <c r="F284" i="1"/>
  <c r="J283" i="1"/>
  <c r="I282" i="1"/>
  <c r="J282" i="1" s="1"/>
  <c r="I281" i="1"/>
  <c r="J281" i="1" s="1"/>
  <c r="Q280" i="1"/>
  <c r="P280" i="1"/>
  <c r="O280" i="1"/>
  <c r="M280" i="1"/>
  <c r="L280" i="1"/>
  <c r="J280" i="1"/>
  <c r="I280" i="1"/>
  <c r="Q279" i="1"/>
  <c r="P279" i="1"/>
  <c r="O279" i="1"/>
  <c r="M279" i="1"/>
  <c r="L279" i="1"/>
  <c r="J279" i="1"/>
  <c r="I279" i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Q271" i="1"/>
  <c r="P271" i="1"/>
  <c r="O271" i="1"/>
  <c r="M271" i="1"/>
  <c r="L271" i="1"/>
  <c r="J271" i="1"/>
  <c r="I271" i="1"/>
  <c r="Q270" i="1"/>
  <c r="P270" i="1"/>
  <c r="O270" i="1"/>
  <c r="M270" i="1"/>
  <c r="L270" i="1"/>
  <c r="J270" i="1"/>
  <c r="I270" i="1"/>
  <c r="J269" i="1"/>
  <c r="Q268" i="1"/>
  <c r="P268" i="1"/>
  <c r="O268" i="1"/>
  <c r="M268" i="1"/>
  <c r="L268" i="1"/>
  <c r="J268" i="1"/>
  <c r="I268" i="1"/>
  <c r="Q267" i="1"/>
  <c r="P267" i="1"/>
  <c r="O267" i="1"/>
  <c r="M267" i="1"/>
  <c r="L267" i="1"/>
  <c r="J267" i="1"/>
  <c r="I267" i="1"/>
  <c r="J266" i="1"/>
  <c r="J265" i="1"/>
  <c r="Q264" i="1"/>
  <c r="P264" i="1"/>
  <c r="O264" i="1"/>
  <c r="M264" i="1"/>
  <c r="L264" i="1"/>
  <c r="J264" i="1"/>
  <c r="I264" i="1"/>
  <c r="Q263" i="1"/>
  <c r="P263" i="1"/>
  <c r="O263" i="1"/>
  <c r="M263" i="1"/>
  <c r="L263" i="1"/>
  <c r="J263" i="1"/>
  <c r="I263" i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Q224" i="1"/>
  <c r="P224" i="1"/>
  <c r="O224" i="1"/>
  <c r="N224" i="1"/>
  <c r="M224" i="1"/>
  <c r="L224" i="1"/>
  <c r="K224" i="1"/>
  <c r="J224" i="1"/>
  <c r="I224" i="1"/>
  <c r="Q219" i="1"/>
  <c r="P219" i="1"/>
  <c r="O219" i="1"/>
  <c r="N219" i="1"/>
  <c r="M219" i="1"/>
  <c r="L219" i="1"/>
  <c r="K219" i="1"/>
  <c r="J219" i="1"/>
  <c r="I219" i="1"/>
  <c r="Q218" i="1"/>
  <c r="P218" i="1"/>
  <c r="O218" i="1"/>
  <c r="N218" i="1"/>
  <c r="M218" i="1"/>
  <c r="L218" i="1"/>
  <c r="K218" i="1"/>
  <c r="J218" i="1"/>
  <c r="I218" i="1"/>
  <c r="Q217" i="1"/>
  <c r="P217" i="1"/>
  <c r="O217" i="1"/>
  <c r="N217" i="1"/>
  <c r="M217" i="1"/>
  <c r="L217" i="1"/>
  <c r="K217" i="1"/>
  <c r="J217" i="1"/>
  <c r="I217" i="1"/>
  <c r="I216" i="1"/>
  <c r="J216" i="1" s="1"/>
  <c r="I215" i="1"/>
  <c r="J215" i="1" s="1"/>
  <c r="I214" i="1"/>
  <c r="J214" i="1" s="1"/>
  <c r="I213" i="1"/>
  <c r="J213" i="1" s="1"/>
  <c r="I212" i="1"/>
  <c r="J212" i="1" s="1"/>
  <c r="Q211" i="1"/>
  <c r="P211" i="1"/>
  <c r="O211" i="1"/>
  <c r="M211" i="1"/>
  <c r="L211" i="1"/>
  <c r="J211" i="1"/>
  <c r="Q210" i="1"/>
  <c r="P210" i="1"/>
  <c r="O210" i="1"/>
  <c r="M210" i="1"/>
  <c r="L210" i="1"/>
  <c r="J210" i="1"/>
  <c r="I210" i="1"/>
  <c r="I209" i="1"/>
  <c r="J209" i="1" s="1"/>
  <c r="I208" i="1"/>
  <c r="J208" i="1" s="1"/>
  <c r="Q207" i="1"/>
  <c r="P207" i="1"/>
  <c r="O207" i="1"/>
  <c r="M207" i="1"/>
  <c r="L207" i="1"/>
  <c r="J207" i="1"/>
  <c r="I207" i="1"/>
  <c r="Q206" i="1"/>
  <c r="P206" i="1"/>
  <c r="O206" i="1"/>
  <c r="M206" i="1"/>
  <c r="L206" i="1"/>
  <c r="J206" i="1"/>
  <c r="I206" i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J196" i="1"/>
  <c r="J195" i="1"/>
  <c r="J194" i="1"/>
  <c r="Q193" i="1"/>
  <c r="P193" i="1"/>
  <c r="O193" i="1"/>
  <c r="M193" i="1"/>
  <c r="L193" i="1"/>
  <c r="J193" i="1"/>
  <c r="I193" i="1"/>
  <c r="Q192" i="1"/>
  <c r="P192" i="1"/>
  <c r="O192" i="1"/>
  <c r="M192" i="1"/>
  <c r="L192" i="1"/>
  <c r="J192" i="1"/>
  <c r="I192" i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J176" i="1"/>
  <c r="J175" i="1"/>
  <c r="J174" i="1"/>
  <c r="J173" i="1"/>
  <c r="J172" i="1"/>
  <c r="Q171" i="1"/>
  <c r="P171" i="1"/>
  <c r="O171" i="1"/>
  <c r="N171" i="1"/>
  <c r="M171" i="1"/>
  <c r="L171" i="1"/>
  <c r="K171" i="1"/>
  <c r="J171" i="1"/>
  <c r="I171" i="1"/>
  <c r="L173" i="1" l="1"/>
  <c r="O304" i="1"/>
  <c r="L329" i="1"/>
  <c r="L316" i="1"/>
  <c r="O322" i="1"/>
  <c r="O254" i="1"/>
  <c r="L245" i="1"/>
  <c r="L249" i="1"/>
  <c r="O323" i="1"/>
  <c r="O308" i="1"/>
  <c r="L330" i="1"/>
  <c r="O255" i="1"/>
  <c r="O259" i="1"/>
  <c r="O313" i="1"/>
  <c r="O314" i="1"/>
  <c r="L225" i="1"/>
  <c r="L226" i="1"/>
  <c r="O227" i="1"/>
  <c r="L230" i="1"/>
  <c r="L233" i="1"/>
  <c r="O331" i="1"/>
  <c r="L333" i="1"/>
  <c r="O338" i="1"/>
  <c r="O339" i="1"/>
  <c r="O343" i="1"/>
  <c r="O209" i="1"/>
  <c r="O301" i="1"/>
  <c r="O309" i="1"/>
  <c r="L318" i="1"/>
  <c r="L331" i="1"/>
  <c r="L242" i="1"/>
  <c r="L265" i="1"/>
  <c r="O283" i="1"/>
  <c r="L294" i="1"/>
  <c r="L301" i="1"/>
  <c r="L309" i="1"/>
  <c r="O318" i="1"/>
  <c r="O326" i="1"/>
  <c r="O239" i="1"/>
  <c r="L246" i="1"/>
  <c r="L314" i="1"/>
  <c r="L319" i="1"/>
  <c r="O244" i="1"/>
  <c r="L253" i="1"/>
  <c r="O258" i="1"/>
  <c r="L276" i="1"/>
  <c r="O282" i="1"/>
  <c r="O316" i="1"/>
  <c r="O319" i="1"/>
  <c r="L326" i="1"/>
  <c r="L281" i="1"/>
  <c r="L237" i="1"/>
  <c r="L239" i="1"/>
  <c r="O269" i="1"/>
  <c r="O294" i="1"/>
  <c r="O317" i="1"/>
  <c r="L322" i="1"/>
  <c r="O330" i="1"/>
  <c r="L343" i="1"/>
  <c r="L266" i="1"/>
  <c r="L315" i="1"/>
  <c r="L328" i="1"/>
  <c r="L334" i="1"/>
  <c r="L342" i="1"/>
  <c r="L298" i="1"/>
  <c r="L305" i="1"/>
  <c r="O315" i="1"/>
  <c r="L317" i="1"/>
  <c r="L327" i="1"/>
  <c r="O329" i="1"/>
  <c r="O342" i="1"/>
  <c r="O228" i="1"/>
  <c r="O243" i="1"/>
  <c r="O298" i="1"/>
  <c r="L304" i="1"/>
  <c r="O305" i="1"/>
  <c r="L313" i="1"/>
  <c r="L323" i="1"/>
  <c r="O327" i="1"/>
  <c r="O328" i="1"/>
  <c r="L332" i="1"/>
  <c r="O333" i="1"/>
  <c r="L269" i="1"/>
  <c r="L227" i="1"/>
  <c r="L231" i="1"/>
  <c r="O235" i="1"/>
  <c r="O247" i="1"/>
  <c r="L257" i="1"/>
  <c r="L258" i="1"/>
  <c r="L259" i="1"/>
  <c r="L235" i="1"/>
  <c r="O226" i="1"/>
  <c r="O231" i="1"/>
  <c r="L243" i="1"/>
  <c r="O246" i="1"/>
  <c r="O250" i="1"/>
  <c r="O251" i="1"/>
  <c r="O265" i="1"/>
  <c r="O266" i="1"/>
  <c r="O273" i="1"/>
  <c r="O260" i="1"/>
  <c r="L273" i="1"/>
  <c r="O278" i="1"/>
  <c r="L232" i="1"/>
  <c r="L236" i="1"/>
  <c r="L251" i="1"/>
  <c r="L255" i="1"/>
  <c r="O262" i="1"/>
  <c r="O175" i="1"/>
  <c r="L198" i="1"/>
  <c r="L205" i="1"/>
  <c r="O212" i="1"/>
  <c r="L214" i="1"/>
  <c r="O230" i="1"/>
  <c r="O232" i="1"/>
  <c r="O236" i="1"/>
  <c r="O240" i="1"/>
  <c r="O242" i="1"/>
  <c r="L247" i="1"/>
  <c r="L252" i="1"/>
  <c r="L261" i="1"/>
  <c r="O274" i="1"/>
  <c r="O276" i="1"/>
  <c r="O277" i="1"/>
  <c r="O248" i="1"/>
  <c r="L175" i="1"/>
  <c r="O174" i="1"/>
  <c r="O186" i="1"/>
  <c r="L229" i="1"/>
  <c r="O234" i="1"/>
  <c r="O238" i="1"/>
  <c r="L241" i="1"/>
  <c r="O252" i="1"/>
  <c r="O256" i="1"/>
  <c r="L262" i="1"/>
  <c r="O272" i="1"/>
  <c r="L275" i="1"/>
  <c r="L277" i="1"/>
  <c r="O281" i="1"/>
  <c r="O241" i="1"/>
  <c r="O257" i="1"/>
  <c r="O275" i="1"/>
  <c r="L215" i="1"/>
  <c r="O229" i="1"/>
  <c r="L256" i="1"/>
  <c r="L278" i="1"/>
  <c r="O172" i="1"/>
  <c r="O191" i="1"/>
  <c r="O197" i="1"/>
  <c r="L228" i="1"/>
  <c r="O233" i="1"/>
  <c r="L234" i="1"/>
  <c r="L244" i="1"/>
  <c r="O249" i="1"/>
  <c r="L250" i="1"/>
  <c r="L260" i="1"/>
  <c r="L282" i="1"/>
  <c r="L283" i="1"/>
  <c r="I284" i="1"/>
  <c r="J284" i="1" s="1"/>
  <c r="O225" i="1"/>
  <c r="L240" i="1"/>
  <c r="O245" i="1"/>
  <c r="O261" i="1"/>
  <c r="L274" i="1"/>
  <c r="O173" i="1"/>
  <c r="O176" i="1"/>
  <c r="L178" i="1"/>
  <c r="O180" i="1"/>
  <c r="L182" i="1"/>
  <c r="O205" i="1"/>
  <c r="O237" i="1"/>
  <c r="L238" i="1"/>
  <c r="L248" i="1"/>
  <c r="O253" i="1"/>
  <c r="L254" i="1"/>
  <c r="L272" i="1"/>
  <c r="L183" i="1"/>
  <c r="O184" i="1"/>
  <c r="L186" i="1"/>
  <c r="L187" i="1"/>
  <c r="O188" i="1"/>
  <c r="L190" i="1"/>
  <c r="O216" i="1"/>
  <c r="I285" i="1"/>
  <c r="J285" i="1" s="1"/>
  <c r="O285" i="1" s="1"/>
  <c r="O199" i="1"/>
  <c r="O203" i="1"/>
  <c r="L199" i="1"/>
  <c r="L172" i="1"/>
  <c r="L195" i="1"/>
  <c r="L177" i="1"/>
  <c r="O177" i="1"/>
  <c r="O181" i="1"/>
  <c r="O183" i="1"/>
  <c r="O185" i="1"/>
  <c r="O187" i="1"/>
  <c r="L208" i="1"/>
  <c r="L212" i="1"/>
  <c r="L216" i="1"/>
  <c r="L174" i="1"/>
  <c r="O179" i="1"/>
  <c r="O196" i="1"/>
  <c r="O198" i="1"/>
  <c r="O202" i="1"/>
  <c r="O208" i="1"/>
  <c r="O214" i="1"/>
  <c r="L176" i="1"/>
  <c r="L180" i="1"/>
  <c r="L184" i="1"/>
  <c r="L188" i="1"/>
  <c r="O195" i="1"/>
  <c r="L197" i="1"/>
  <c r="L201" i="1"/>
  <c r="L203" i="1"/>
  <c r="L209" i="1"/>
  <c r="O213" i="1"/>
  <c r="O215" i="1"/>
  <c r="L181" i="1"/>
  <c r="L194" i="1"/>
  <c r="L204" i="1"/>
  <c r="L189" i="1"/>
  <c r="O194" i="1"/>
  <c r="L200" i="1"/>
  <c r="O204" i="1"/>
  <c r="O182" i="1"/>
  <c r="O178" i="1"/>
  <c r="L179" i="1"/>
  <c r="L185" i="1"/>
  <c r="O189" i="1"/>
  <c r="O190" i="1"/>
  <c r="L191" i="1"/>
  <c r="L196" i="1"/>
  <c r="O200" i="1"/>
  <c r="O201" i="1"/>
  <c r="L202" i="1"/>
  <c r="L213" i="1"/>
  <c r="O284" i="1" l="1"/>
  <c r="L284" i="1"/>
  <c r="F113" i="1" l="1"/>
  <c r="F112" i="1"/>
  <c r="F111" i="1"/>
  <c r="G130" i="1"/>
  <c r="G126" i="1"/>
  <c r="G127" i="1"/>
  <c r="G161" i="1"/>
  <c r="I161" i="1"/>
  <c r="J161" i="1" s="1"/>
  <c r="A161" i="1"/>
  <c r="A144" i="1"/>
  <c r="A145" i="1"/>
  <c r="A146" i="1"/>
  <c r="I72" i="1"/>
  <c r="J72" i="1" s="1"/>
  <c r="A72" i="1"/>
  <c r="I71" i="1"/>
  <c r="J71" i="1" s="1"/>
  <c r="A71" i="1"/>
  <c r="I74" i="1"/>
  <c r="J74" i="1" s="1"/>
  <c r="A74" i="1"/>
  <c r="I73" i="1"/>
  <c r="J73" i="1" s="1"/>
  <c r="A73" i="1"/>
  <c r="I61" i="1"/>
  <c r="J61" i="1" s="1"/>
  <c r="A61" i="1"/>
  <c r="I60" i="1"/>
  <c r="J60" i="1" s="1"/>
  <c r="A60" i="1"/>
  <c r="I59" i="1"/>
  <c r="J59" i="1" s="1"/>
  <c r="A59" i="1"/>
  <c r="I64" i="1"/>
  <c r="J64" i="1" s="1"/>
  <c r="A64" i="1"/>
  <c r="I63" i="1"/>
  <c r="J63" i="1" s="1"/>
  <c r="A63" i="1"/>
  <c r="I62" i="1"/>
  <c r="J62" i="1" s="1"/>
  <c r="A62" i="1"/>
  <c r="G107" i="1"/>
  <c r="G106" i="1"/>
  <c r="G105" i="1"/>
  <c r="G104" i="1"/>
  <c r="G103" i="1"/>
  <c r="I105" i="1"/>
  <c r="J105" i="1" s="1"/>
  <c r="A105" i="1"/>
  <c r="I104" i="1"/>
  <c r="J104" i="1" s="1"/>
  <c r="A104" i="1"/>
  <c r="I103" i="1"/>
  <c r="J103" i="1" s="1"/>
  <c r="A103" i="1"/>
  <c r="Q102" i="1"/>
  <c r="P102" i="1"/>
  <c r="O102" i="1"/>
  <c r="M102" i="1"/>
  <c r="L102" i="1"/>
  <c r="J102" i="1"/>
  <c r="I102" i="1"/>
  <c r="A102" i="1"/>
  <c r="I109" i="1"/>
  <c r="J109" i="1" s="1"/>
  <c r="A109" i="1"/>
  <c r="I108" i="1"/>
  <c r="J108" i="1" s="1"/>
  <c r="A108" i="1"/>
  <c r="I107" i="1"/>
  <c r="J107" i="1" s="1"/>
  <c r="A107" i="1"/>
  <c r="I106" i="1"/>
  <c r="J106" i="1" s="1"/>
  <c r="A106" i="1"/>
  <c r="G101" i="1"/>
  <c r="G100" i="1"/>
  <c r="G99" i="1"/>
  <c r="G98" i="1"/>
  <c r="G97" i="1"/>
  <c r="G95" i="1"/>
  <c r="G94" i="1"/>
  <c r="I99" i="1"/>
  <c r="J99" i="1" s="1"/>
  <c r="A99" i="1"/>
  <c r="I98" i="1"/>
  <c r="J98" i="1" s="1"/>
  <c r="A98" i="1"/>
  <c r="I97" i="1"/>
  <c r="J97" i="1" s="1"/>
  <c r="A97" i="1"/>
  <c r="Q96" i="1"/>
  <c r="P96" i="1"/>
  <c r="O96" i="1"/>
  <c r="M96" i="1"/>
  <c r="L96" i="1"/>
  <c r="J96" i="1"/>
  <c r="I96" i="1"/>
  <c r="A96" i="1"/>
  <c r="G93" i="1"/>
  <c r="G91" i="1"/>
  <c r="G90" i="1"/>
  <c r="G89" i="1"/>
  <c r="G88" i="1"/>
  <c r="G87" i="1"/>
  <c r="G86" i="1"/>
  <c r="I88" i="1"/>
  <c r="J88" i="1" s="1"/>
  <c r="A88" i="1"/>
  <c r="G84" i="1"/>
  <c r="G83" i="1"/>
  <c r="G82" i="1"/>
  <c r="G81" i="1"/>
  <c r="G80" i="1"/>
  <c r="Q85" i="1"/>
  <c r="P85" i="1"/>
  <c r="O85" i="1"/>
  <c r="M85" i="1"/>
  <c r="L85" i="1"/>
  <c r="J85" i="1"/>
  <c r="I85" i="1"/>
  <c r="A85" i="1"/>
  <c r="I84" i="1"/>
  <c r="J84" i="1" s="1"/>
  <c r="A84" i="1"/>
  <c r="I83" i="1"/>
  <c r="J83" i="1" s="1"/>
  <c r="A83" i="1"/>
  <c r="I82" i="1"/>
  <c r="J82" i="1" s="1"/>
  <c r="A82" i="1"/>
  <c r="I81" i="1"/>
  <c r="J81" i="1" s="1"/>
  <c r="A81" i="1"/>
  <c r="I80" i="1"/>
  <c r="J80" i="1" s="1"/>
  <c r="A80" i="1"/>
  <c r="Q92" i="1"/>
  <c r="P92" i="1"/>
  <c r="O92" i="1"/>
  <c r="M92" i="1"/>
  <c r="L92" i="1"/>
  <c r="J92" i="1"/>
  <c r="I92" i="1"/>
  <c r="A92" i="1"/>
  <c r="I91" i="1"/>
  <c r="J91" i="1" s="1"/>
  <c r="A91" i="1"/>
  <c r="I90" i="1"/>
  <c r="J90" i="1" s="1"/>
  <c r="A90" i="1"/>
  <c r="I89" i="1"/>
  <c r="J89" i="1" s="1"/>
  <c r="A89" i="1"/>
  <c r="I87" i="1"/>
  <c r="J87" i="1" s="1"/>
  <c r="A87" i="1"/>
  <c r="I86" i="1"/>
  <c r="J86" i="1" s="1"/>
  <c r="A86" i="1"/>
  <c r="I95" i="1"/>
  <c r="J95" i="1" s="1"/>
  <c r="A95" i="1"/>
  <c r="I94" i="1"/>
  <c r="J94" i="1" s="1"/>
  <c r="A94" i="1"/>
  <c r="I93" i="1"/>
  <c r="J93" i="1" s="1"/>
  <c r="A93" i="1"/>
  <c r="G24" i="1"/>
  <c r="N16" i="1"/>
  <c r="K16" i="1"/>
  <c r="I16" i="1"/>
  <c r="J16" i="1" s="1"/>
  <c r="A16" i="1"/>
  <c r="O109" i="1" l="1"/>
  <c r="L109" i="1"/>
  <c r="O161" i="1"/>
  <c r="O108" i="1"/>
  <c r="L108" i="1"/>
  <c r="L161" i="1"/>
  <c r="O104" i="1"/>
  <c r="L91" i="1"/>
  <c r="O98" i="1"/>
  <c r="O63" i="1"/>
  <c r="L73" i="1"/>
  <c r="O74" i="1"/>
  <c r="L74" i="1"/>
  <c r="O71" i="1"/>
  <c r="O73" i="1"/>
  <c r="L72" i="1"/>
  <c r="O72" i="1"/>
  <c r="L71" i="1"/>
  <c r="L88" i="1"/>
  <c r="O62" i="1"/>
  <c r="O59" i="1"/>
  <c r="O93" i="1"/>
  <c r="O87" i="1"/>
  <c r="L106" i="1"/>
  <c r="O60" i="1"/>
  <c r="L80" i="1"/>
  <c r="L62" i="1"/>
  <c r="L59" i="1"/>
  <c r="L64" i="1"/>
  <c r="O64" i="1"/>
  <c r="L63" i="1"/>
  <c r="L61" i="1"/>
  <c r="O61" i="1"/>
  <c r="L60" i="1"/>
  <c r="O97" i="1"/>
  <c r="L99" i="1"/>
  <c r="O105" i="1"/>
  <c r="L103" i="1"/>
  <c r="L94" i="1"/>
  <c r="L86" i="1"/>
  <c r="L89" i="1"/>
  <c r="O95" i="1"/>
  <c r="O103" i="1"/>
  <c r="L105" i="1"/>
  <c r="L90" i="1"/>
  <c r="O81" i="1"/>
  <c r="O84" i="1"/>
  <c r="O88" i="1"/>
  <c r="L107" i="1"/>
  <c r="L95" i="1"/>
  <c r="O90" i="1"/>
  <c r="L81" i="1"/>
  <c r="L82" i="1"/>
  <c r="O83" i="1"/>
  <c r="O107" i="1"/>
  <c r="O99" i="1"/>
  <c r="L98" i="1"/>
  <c r="L97" i="1"/>
  <c r="O94" i="1"/>
  <c r="L93" i="1"/>
  <c r="O91" i="1"/>
  <c r="O89" i="1"/>
  <c r="L87" i="1"/>
  <c r="O86" i="1"/>
  <c r="L84" i="1"/>
  <c r="L83" i="1"/>
  <c r="O82" i="1"/>
  <c r="O80" i="1"/>
  <c r="O106" i="1"/>
  <c r="L104" i="1"/>
  <c r="L16" i="1"/>
  <c r="O16" i="1"/>
  <c r="A19" i="1" l="1"/>
  <c r="A18" i="1"/>
  <c r="A17" i="1"/>
  <c r="A14" i="1"/>
  <c r="A15" i="1"/>
  <c r="A20" i="1"/>
  <c r="A21" i="1"/>
  <c r="A13" i="1"/>
  <c r="A12" i="1"/>
  <c r="A11" i="1"/>
  <c r="A10" i="1"/>
  <c r="A9" i="1"/>
  <c r="N14" i="1" l="1"/>
  <c r="K14" i="1"/>
  <c r="I14" i="1"/>
  <c r="J14" i="1" s="1"/>
  <c r="N17" i="1"/>
  <c r="K17" i="1"/>
  <c r="I17" i="1"/>
  <c r="J17" i="1" s="1"/>
  <c r="N13" i="1"/>
  <c r="K13" i="1"/>
  <c r="I13" i="1"/>
  <c r="J13" i="1" s="1"/>
  <c r="N12" i="1"/>
  <c r="K12" i="1"/>
  <c r="I12" i="1"/>
  <c r="J12" i="1" s="1"/>
  <c r="N18" i="1"/>
  <c r="K18" i="1"/>
  <c r="I18" i="1"/>
  <c r="J18" i="1" s="1"/>
  <c r="N15" i="1"/>
  <c r="K15" i="1"/>
  <c r="I15" i="1"/>
  <c r="J15" i="1" s="1"/>
  <c r="I123" i="1"/>
  <c r="J123" i="1" s="1"/>
  <c r="A123" i="1"/>
  <c r="I122" i="1"/>
  <c r="J122" i="1" s="1"/>
  <c r="A122" i="1"/>
  <c r="I121" i="1"/>
  <c r="J121" i="1" s="1"/>
  <c r="A121" i="1"/>
  <c r="Q120" i="1"/>
  <c r="P120" i="1"/>
  <c r="O120" i="1"/>
  <c r="M120" i="1"/>
  <c r="L120" i="1"/>
  <c r="J120" i="1"/>
  <c r="I120" i="1"/>
  <c r="A120" i="1"/>
  <c r="A48" i="1"/>
  <c r="L123" i="1" l="1"/>
  <c r="O123" i="1"/>
  <c r="O121" i="1"/>
  <c r="L121" i="1"/>
  <c r="L122" i="1"/>
  <c r="O122" i="1"/>
  <c r="O15" i="1"/>
  <c r="L18" i="1"/>
  <c r="O18" i="1"/>
  <c r="L14" i="1"/>
  <c r="O14" i="1"/>
  <c r="L15" i="1"/>
  <c r="O12" i="1"/>
  <c r="L12" i="1"/>
  <c r="L13" i="1"/>
  <c r="O13" i="1"/>
  <c r="L17" i="1"/>
  <c r="O17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0" i="1"/>
  <c r="A51" i="1"/>
  <c r="A52" i="1"/>
  <c r="A53" i="1"/>
  <c r="A54" i="1"/>
  <c r="A55" i="1"/>
  <c r="A56" i="1"/>
  <c r="A57" i="1"/>
  <c r="A58" i="1"/>
  <c r="A65" i="1"/>
  <c r="A66" i="1"/>
  <c r="A67" i="1"/>
  <c r="A68" i="1"/>
  <c r="A69" i="1"/>
  <c r="A70" i="1"/>
  <c r="A75" i="1"/>
  <c r="A76" i="1"/>
  <c r="A77" i="1"/>
  <c r="A78" i="1"/>
  <c r="A79" i="1"/>
  <c r="A100" i="1"/>
  <c r="A101" i="1"/>
  <c r="A110" i="1"/>
  <c r="A111" i="1"/>
  <c r="A112" i="1"/>
  <c r="A113" i="1"/>
  <c r="A114" i="1"/>
  <c r="A115" i="1"/>
  <c r="A116" i="1"/>
  <c r="A117" i="1"/>
  <c r="A118" i="1"/>
  <c r="A119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2" i="1"/>
  <c r="A163" i="1"/>
  <c r="A164" i="1"/>
  <c r="A166" i="1"/>
  <c r="A167" i="1"/>
  <c r="A168" i="1"/>
  <c r="A169" i="1"/>
  <c r="A221" i="1"/>
  <c r="A222" i="1"/>
  <c r="A291" i="1"/>
  <c r="A292" i="1"/>
  <c r="A350" i="1"/>
  <c r="A351" i="1"/>
  <c r="A22" i="1"/>
  <c r="F5" i="1" l="1"/>
  <c r="I112" i="1" l="1"/>
  <c r="J112" i="1" s="1"/>
  <c r="I111" i="1"/>
  <c r="J111" i="1" s="1"/>
  <c r="O111" i="1" s="1"/>
  <c r="I113" i="1"/>
  <c r="J113" i="1" s="1"/>
  <c r="Q223" i="1"/>
  <c r="P223" i="1"/>
  <c r="O223" i="1"/>
  <c r="N223" i="1"/>
  <c r="M223" i="1"/>
  <c r="L223" i="1"/>
  <c r="K223" i="1"/>
  <c r="J223" i="1"/>
  <c r="I223" i="1"/>
  <c r="Q170" i="1"/>
  <c r="P170" i="1"/>
  <c r="O170" i="1"/>
  <c r="N170" i="1"/>
  <c r="M170" i="1"/>
  <c r="L170" i="1"/>
  <c r="K170" i="1"/>
  <c r="J170" i="1"/>
  <c r="I170" i="1"/>
  <c r="L113" i="1" l="1"/>
  <c r="O113" i="1"/>
  <c r="O112" i="1"/>
  <c r="L112" i="1"/>
  <c r="L111" i="1"/>
  <c r="A1" i="2" l="1"/>
  <c r="K10" i="1"/>
  <c r="Q347" i="1" l="1"/>
  <c r="P347" i="1"/>
  <c r="O347" i="1"/>
  <c r="N347" i="1"/>
  <c r="M347" i="1"/>
  <c r="L347" i="1"/>
  <c r="K347" i="1"/>
  <c r="J347" i="1"/>
  <c r="I347" i="1"/>
  <c r="Q293" i="1"/>
  <c r="P293" i="1"/>
  <c r="O293" i="1"/>
  <c r="N293" i="1"/>
  <c r="M293" i="1"/>
  <c r="L293" i="1"/>
  <c r="K293" i="1"/>
  <c r="J293" i="1"/>
  <c r="I293" i="1"/>
  <c r="Q290" i="1"/>
  <c r="P290" i="1"/>
  <c r="O290" i="1"/>
  <c r="N290" i="1"/>
  <c r="M290" i="1"/>
  <c r="L290" i="1"/>
  <c r="K290" i="1"/>
  <c r="J290" i="1"/>
  <c r="I290" i="1"/>
  <c r="Q220" i="1"/>
  <c r="P220" i="1"/>
  <c r="O220" i="1"/>
  <c r="N220" i="1"/>
  <c r="M220" i="1"/>
  <c r="L220" i="1"/>
  <c r="K220" i="1"/>
  <c r="J220" i="1"/>
  <c r="I220" i="1"/>
  <c r="Q20" i="1"/>
  <c r="P20" i="1"/>
  <c r="O20" i="1"/>
  <c r="N20" i="1"/>
  <c r="M20" i="1"/>
  <c r="L20" i="1"/>
  <c r="K20" i="1"/>
  <c r="J20" i="1"/>
  <c r="I20" i="1"/>
  <c r="Q19" i="1"/>
  <c r="P19" i="1"/>
  <c r="O19" i="1"/>
  <c r="N19" i="1"/>
  <c r="M19" i="1"/>
  <c r="L19" i="1"/>
  <c r="K19" i="1"/>
  <c r="J19" i="1"/>
  <c r="I19" i="1"/>
  <c r="N11" i="1"/>
  <c r="K11" i="1"/>
  <c r="I11" i="1"/>
  <c r="J11" i="1" s="1"/>
  <c r="N10" i="1"/>
  <c r="I10" i="1"/>
  <c r="J10" i="1" s="1"/>
  <c r="N9" i="1"/>
  <c r="K9" i="1"/>
  <c r="I9" i="1"/>
  <c r="J9" i="1" s="1"/>
  <c r="L11" i="1" l="1"/>
  <c r="O10" i="1"/>
  <c r="O9" i="1"/>
  <c r="Q348" i="1"/>
  <c r="K221" i="1"/>
  <c r="K348" i="1"/>
  <c r="D17" i="2" s="1"/>
  <c r="F17" i="2" s="1"/>
  <c r="Q221" i="1"/>
  <c r="K291" i="1"/>
  <c r="D16" i="2" s="1"/>
  <c r="F16" i="2" s="1"/>
  <c r="Q291" i="1"/>
  <c r="O11" i="1"/>
  <c r="L9" i="1"/>
  <c r="L10" i="1"/>
  <c r="D15" i="2"/>
  <c r="F15" i="2" s="1"/>
  <c r="Q131" i="1"/>
  <c r="P131" i="1"/>
  <c r="O131" i="1"/>
  <c r="M131" i="1"/>
  <c r="L131" i="1"/>
  <c r="J131" i="1"/>
  <c r="I131" i="1"/>
  <c r="Q351" i="1"/>
  <c r="P351" i="1"/>
  <c r="O351" i="1"/>
  <c r="N351" i="1"/>
  <c r="M351" i="1"/>
  <c r="L351" i="1"/>
  <c r="K351" i="1"/>
  <c r="J351" i="1"/>
  <c r="I351" i="1"/>
  <c r="Q349" i="1"/>
  <c r="P349" i="1"/>
  <c r="O349" i="1"/>
  <c r="N349" i="1"/>
  <c r="M349" i="1"/>
  <c r="L349" i="1"/>
  <c r="K349" i="1"/>
  <c r="J349" i="1"/>
  <c r="I349" i="1"/>
  <c r="Q167" i="1"/>
  <c r="P167" i="1"/>
  <c r="O167" i="1"/>
  <c r="N167" i="1"/>
  <c r="M167" i="1"/>
  <c r="L167" i="1"/>
  <c r="K167" i="1"/>
  <c r="J167" i="1"/>
  <c r="I167" i="1"/>
  <c r="I166" i="1"/>
  <c r="J166" i="1" s="1"/>
  <c r="I165" i="1"/>
  <c r="J165" i="1" s="1"/>
  <c r="Q164" i="1"/>
  <c r="P164" i="1"/>
  <c r="O164" i="1"/>
  <c r="M164" i="1"/>
  <c r="L164" i="1"/>
  <c r="J164" i="1"/>
  <c r="I164" i="1"/>
  <c r="I163" i="1"/>
  <c r="J163" i="1" s="1"/>
  <c r="Q162" i="1"/>
  <c r="P162" i="1"/>
  <c r="O162" i="1"/>
  <c r="M162" i="1"/>
  <c r="L162" i="1"/>
  <c r="J162" i="1"/>
  <c r="I162" i="1"/>
  <c r="I160" i="1"/>
  <c r="J160" i="1" s="1"/>
  <c r="I159" i="1"/>
  <c r="J159" i="1" s="1"/>
  <c r="I158" i="1"/>
  <c r="J158" i="1" s="1"/>
  <c r="Q157" i="1"/>
  <c r="P157" i="1"/>
  <c r="O157" i="1"/>
  <c r="N157" i="1"/>
  <c r="M157" i="1"/>
  <c r="L157" i="1"/>
  <c r="K157" i="1"/>
  <c r="J157" i="1"/>
  <c r="I157" i="1"/>
  <c r="Q154" i="1"/>
  <c r="P154" i="1"/>
  <c r="O154" i="1"/>
  <c r="N154" i="1"/>
  <c r="M154" i="1"/>
  <c r="L154" i="1"/>
  <c r="K154" i="1"/>
  <c r="J154" i="1"/>
  <c r="I154" i="1"/>
  <c r="I145" i="1"/>
  <c r="J145" i="1" s="1"/>
  <c r="I153" i="1"/>
  <c r="J153" i="1" s="1"/>
  <c r="I152" i="1"/>
  <c r="J152" i="1" s="1"/>
  <c r="I151" i="1"/>
  <c r="J151" i="1" s="1"/>
  <c r="I150" i="1"/>
  <c r="J150" i="1" s="1"/>
  <c r="I149" i="1"/>
  <c r="J149" i="1" s="1"/>
  <c r="Q148" i="1"/>
  <c r="P148" i="1"/>
  <c r="O148" i="1"/>
  <c r="M148" i="1"/>
  <c r="L148" i="1"/>
  <c r="J148" i="1"/>
  <c r="I148" i="1"/>
  <c r="I147" i="1"/>
  <c r="J147" i="1" s="1"/>
  <c r="I146" i="1"/>
  <c r="J146" i="1" s="1"/>
  <c r="Q144" i="1"/>
  <c r="P144" i="1"/>
  <c r="O144" i="1"/>
  <c r="N144" i="1"/>
  <c r="M144" i="1"/>
  <c r="L144" i="1"/>
  <c r="K144" i="1"/>
  <c r="J144" i="1"/>
  <c r="I144" i="1"/>
  <c r="Q141" i="1"/>
  <c r="P141" i="1"/>
  <c r="O141" i="1"/>
  <c r="N141" i="1"/>
  <c r="M141" i="1"/>
  <c r="L141" i="1"/>
  <c r="K141" i="1"/>
  <c r="J141" i="1"/>
  <c r="I141" i="1"/>
  <c r="I140" i="1"/>
  <c r="J140" i="1" s="1"/>
  <c r="I139" i="1"/>
  <c r="J139" i="1" s="1"/>
  <c r="I138" i="1"/>
  <c r="J138" i="1" s="1"/>
  <c r="I137" i="1"/>
  <c r="J137" i="1" s="1"/>
  <c r="Q136" i="1"/>
  <c r="P136" i="1"/>
  <c r="O136" i="1"/>
  <c r="M136" i="1"/>
  <c r="L136" i="1"/>
  <c r="J136" i="1"/>
  <c r="I136" i="1"/>
  <c r="I135" i="1"/>
  <c r="J135" i="1" s="1"/>
  <c r="Q134" i="1"/>
  <c r="P134" i="1"/>
  <c r="O134" i="1"/>
  <c r="N134" i="1"/>
  <c r="M134" i="1"/>
  <c r="L134" i="1"/>
  <c r="K134" i="1"/>
  <c r="J134" i="1"/>
  <c r="I134" i="1"/>
  <c r="N131" i="1"/>
  <c r="K131" i="1"/>
  <c r="I130" i="1"/>
  <c r="J130" i="1" s="1"/>
  <c r="I129" i="1"/>
  <c r="J129" i="1" s="1"/>
  <c r="I128" i="1"/>
  <c r="J128" i="1" s="1"/>
  <c r="I127" i="1"/>
  <c r="J127" i="1" s="1"/>
  <c r="I126" i="1"/>
  <c r="J126" i="1" s="1"/>
  <c r="Q125" i="1"/>
  <c r="P125" i="1"/>
  <c r="O125" i="1"/>
  <c r="M125" i="1"/>
  <c r="L125" i="1"/>
  <c r="J125" i="1"/>
  <c r="I125" i="1"/>
  <c r="I124" i="1"/>
  <c r="J124" i="1" s="1"/>
  <c r="I119" i="1"/>
  <c r="J119" i="1" s="1"/>
  <c r="I118" i="1"/>
  <c r="J118" i="1" s="1"/>
  <c r="I117" i="1"/>
  <c r="J117" i="1" s="1"/>
  <c r="I116" i="1"/>
  <c r="J116" i="1" s="1"/>
  <c r="I115" i="1"/>
  <c r="J115" i="1" s="1"/>
  <c r="Q114" i="1"/>
  <c r="P114" i="1"/>
  <c r="O114" i="1"/>
  <c r="M114" i="1"/>
  <c r="L114" i="1"/>
  <c r="J114" i="1"/>
  <c r="I114" i="1"/>
  <c r="Q110" i="1"/>
  <c r="P110" i="1"/>
  <c r="O110" i="1"/>
  <c r="M110" i="1"/>
  <c r="L110" i="1"/>
  <c r="J110" i="1"/>
  <c r="I110" i="1"/>
  <c r="I101" i="1"/>
  <c r="J101" i="1" s="1"/>
  <c r="I100" i="1"/>
  <c r="J100" i="1" s="1"/>
  <c r="Q79" i="1"/>
  <c r="P79" i="1"/>
  <c r="O79" i="1"/>
  <c r="N79" i="1"/>
  <c r="M79" i="1"/>
  <c r="L79" i="1"/>
  <c r="K79" i="1"/>
  <c r="J79" i="1"/>
  <c r="I79" i="1"/>
  <c r="Q78" i="1"/>
  <c r="P78" i="1"/>
  <c r="O78" i="1"/>
  <c r="N78" i="1"/>
  <c r="M78" i="1"/>
  <c r="L78" i="1"/>
  <c r="K78" i="1"/>
  <c r="J78" i="1"/>
  <c r="I78" i="1"/>
  <c r="Q75" i="1"/>
  <c r="P75" i="1"/>
  <c r="O75" i="1"/>
  <c r="N75" i="1"/>
  <c r="M75" i="1"/>
  <c r="L75" i="1"/>
  <c r="K75" i="1"/>
  <c r="J75" i="1"/>
  <c r="I75" i="1"/>
  <c r="I70" i="1"/>
  <c r="J70" i="1" s="1"/>
  <c r="Q69" i="1"/>
  <c r="P69" i="1"/>
  <c r="O69" i="1"/>
  <c r="M69" i="1"/>
  <c r="L69" i="1"/>
  <c r="J69" i="1"/>
  <c r="I69" i="1"/>
  <c r="I68" i="1"/>
  <c r="J68" i="1" s="1"/>
  <c r="Q67" i="1"/>
  <c r="P67" i="1"/>
  <c r="O67" i="1"/>
  <c r="M67" i="1"/>
  <c r="L67" i="1"/>
  <c r="J67" i="1"/>
  <c r="I67" i="1"/>
  <c r="I66" i="1"/>
  <c r="J66" i="1" s="1"/>
  <c r="Q65" i="1"/>
  <c r="P65" i="1"/>
  <c r="O65" i="1"/>
  <c r="M65" i="1"/>
  <c r="L65" i="1"/>
  <c r="J65" i="1"/>
  <c r="I65" i="1"/>
  <c r="Q58" i="1"/>
  <c r="P58" i="1"/>
  <c r="O58" i="1"/>
  <c r="N58" i="1"/>
  <c r="M58" i="1"/>
  <c r="L58" i="1"/>
  <c r="K58" i="1"/>
  <c r="J58" i="1"/>
  <c r="I58" i="1"/>
  <c r="Q55" i="1"/>
  <c r="P55" i="1"/>
  <c r="O55" i="1"/>
  <c r="N55" i="1"/>
  <c r="M55" i="1"/>
  <c r="L55" i="1"/>
  <c r="K55" i="1"/>
  <c r="J55" i="1"/>
  <c r="I55" i="1"/>
  <c r="I54" i="1"/>
  <c r="J54" i="1" s="1"/>
  <c r="Q53" i="1"/>
  <c r="P53" i="1"/>
  <c r="O53" i="1"/>
  <c r="M53" i="1"/>
  <c r="L53" i="1"/>
  <c r="J53" i="1"/>
  <c r="I53" i="1"/>
  <c r="I52" i="1"/>
  <c r="J52" i="1" s="1"/>
  <c r="Q51" i="1"/>
  <c r="P51" i="1"/>
  <c r="O51" i="1"/>
  <c r="N51" i="1"/>
  <c r="M51" i="1"/>
  <c r="L51" i="1"/>
  <c r="K51" i="1"/>
  <c r="J51" i="1"/>
  <c r="I51" i="1"/>
  <c r="Q48" i="1"/>
  <c r="P48" i="1"/>
  <c r="O48" i="1"/>
  <c r="N48" i="1"/>
  <c r="M48" i="1"/>
  <c r="L48" i="1"/>
  <c r="K48" i="1"/>
  <c r="J48" i="1"/>
  <c r="I48" i="1"/>
  <c r="I47" i="1"/>
  <c r="J47" i="1" s="1"/>
  <c r="I46" i="1"/>
  <c r="J46" i="1" s="1"/>
  <c r="Q45" i="1"/>
  <c r="P45" i="1"/>
  <c r="O45" i="1"/>
  <c r="N45" i="1"/>
  <c r="M45" i="1"/>
  <c r="L45" i="1"/>
  <c r="K45" i="1"/>
  <c r="J45" i="1"/>
  <c r="I45" i="1"/>
  <c r="Q42" i="1"/>
  <c r="P42" i="1"/>
  <c r="O42" i="1"/>
  <c r="N42" i="1"/>
  <c r="M42" i="1"/>
  <c r="L42" i="1"/>
  <c r="K42" i="1"/>
  <c r="J42" i="1"/>
  <c r="I42" i="1"/>
  <c r="I41" i="1"/>
  <c r="J41" i="1" s="1"/>
  <c r="Q40" i="1"/>
  <c r="P40" i="1"/>
  <c r="O40" i="1"/>
  <c r="N40" i="1"/>
  <c r="M40" i="1"/>
  <c r="L40" i="1"/>
  <c r="K40" i="1"/>
  <c r="J40" i="1"/>
  <c r="I40" i="1"/>
  <c r="Q37" i="1"/>
  <c r="P37" i="1"/>
  <c r="O37" i="1"/>
  <c r="N37" i="1"/>
  <c r="M37" i="1"/>
  <c r="L37" i="1"/>
  <c r="K37" i="1"/>
  <c r="J37" i="1"/>
  <c r="I37" i="1"/>
  <c r="K36" i="1"/>
  <c r="I36" i="1"/>
  <c r="J36" i="1" s="1"/>
  <c r="K35" i="1"/>
  <c r="I35" i="1"/>
  <c r="J35" i="1" s="1"/>
  <c r="K34" i="1"/>
  <c r="I34" i="1"/>
  <c r="J34" i="1" s="1"/>
  <c r="K33" i="1"/>
  <c r="I33" i="1"/>
  <c r="J33" i="1" s="1"/>
  <c r="K32" i="1"/>
  <c r="I32" i="1"/>
  <c r="J32" i="1" s="1"/>
  <c r="K31" i="1"/>
  <c r="I31" i="1"/>
  <c r="J31" i="1" s="1"/>
  <c r="K30" i="1"/>
  <c r="I30" i="1"/>
  <c r="J30" i="1" s="1"/>
  <c r="K29" i="1"/>
  <c r="I29" i="1"/>
  <c r="J29" i="1" s="1"/>
  <c r="K28" i="1"/>
  <c r="I28" i="1"/>
  <c r="J28" i="1" s="1"/>
  <c r="K27" i="1"/>
  <c r="I27" i="1"/>
  <c r="J27" i="1" s="1"/>
  <c r="K26" i="1"/>
  <c r="I26" i="1"/>
  <c r="J26" i="1" s="1"/>
  <c r="K25" i="1"/>
  <c r="I25" i="1"/>
  <c r="J25" i="1" s="1"/>
  <c r="K24" i="1"/>
  <c r="I24" i="1"/>
  <c r="J24" i="1" s="1"/>
  <c r="Q23" i="1"/>
  <c r="P23" i="1"/>
  <c r="O23" i="1"/>
  <c r="N23" i="1"/>
  <c r="M23" i="1"/>
  <c r="L23" i="1"/>
  <c r="K23" i="1"/>
  <c r="J23" i="1"/>
  <c r="I23" i="1"/>
  <c r="L47" i="1" l="1"/>
  <c r="O47" i="1"/>
  <c r="L52" i="1"/>
  <c r="O52" i="1"/>
  <c r="O54" i="1"/>
  <c r="L54" i="1"/>
  <c r="O130" i="1"/>
  <c r="L124" i="1"/>
  <c r="O46" i="1"/>
  <c r="O139" i="1"/>
  <c r="L129" i="1"/>
  <c r="O124" i="1"/>
  <c r="O129" i="1"/>
  <c r="L46" i="1"/>
  <c r="L126" i="1"/>
  <c r="L119" i="1"/>
  <c r="L130" i="1"/>
  <c r="L137" i="1"/>
  <c r="L140" i="1"/>
  <c r="O118" i="1"/>
  <c r="L127" i="1"/>
  <c r="O137" i="1"/>
  <c r="O138" i="1"/>
  <c r="L153" i="1"/>
  <c r="O41" i="1"/>
  <c r="Q43" i="1" s="1"/>
  <c r="O115" i="1"/>
  <c r="O146" i="1"/>
  <c r="O165" i="1"/>
  <c r="L41" i="1"/>
  <c r="L68" i="1"/>
  <c r="L116" i="1"/>
  <c r="O127" i="1"/>
  <c r="L138" i="1"/>
  <c r="L147" i="1"/>
  <c r="L145" i="1"/>
  <c r="O140" i="1"/>
  <c r="L139" i="1"/>
  <c r="L151" i="1"/>
  <c r="L118" i="1"/>
  <c r="O119" i="1"/>
  <c r="O135" i="1"/>
  <c r="L135" i="1"/>
  <c r="L159" i="1"/>
  <c r="O117" i="1"/>
  <c r="O126" i="1"/>
  <c r="O166" i="1"/>
  <c r="L166" i="1"/>
  <c r="L117" i="1"/>
  <c r="L150" i="1"/>
  <c r="O116" i="1"/>
  <c r="O150" i="1"/>
  <c r="O158" i="1"/>
  <c r="L128" i="1"/>
  <c r="L152" i="1"/>
  <c r="O153" i="1"/>
  <c r="O145" i="1"/>
  <c r="L115" i="1"/>
  <c r="O151" i="1"/>
  <c r="O152" i="1"/>
  <c r="O147" i="1"/>
  <c r="L146" i="1"/>
  <c r="O159" i="1"/>
  <c r="L158" i="1"/>
  <c r="O160" i="1"/>
  <c r="L160" i="1"/>
  <c r="O163" i="1"/>
  <c r="L163" i="1"/>
  <c r="L165" i="1"/>
  <c r="O149" i="1"/>
  <c r="O66" i="1"/>
  <c r="O101" i="1"/>
  <c r="L149" i="1"/>
  <c r="O128" i="1"/>
  <c r="O68" i="1"/>
  <c r="O70" i="1"/>
  <c r="L66" i="1"/>
  <c r="L70" i="1"/>
  <c r="L100" i="1"/>
  <c r="O100" i="1"/>
  <c r="L101" i="1"/>
  <c r="O32" i="1"/>
  <c r="O34" i="1"/>
  <c r="L27" i="1"/>
  <c r="L31" i="1"/>
  <c r="L36" i="1"/>
  <c r="O29" i="1"/>
  <c r="O30" i="1"/>
  <c r="O31" i="1"/>
  <c r="O24" i="1"/>
  <c r="O26" i="1"/>
  <c r="O28" i="1"/>
  <c r="L33" i="1"/>
  <c r="O25" i="1"/>
  <c r="L24" i="1"/>
  <c r="O33" i="1"/>
  <c r="L25" i="1"/>
  <c r="L28" i="1"/>
  <c r="L29" i="1"/>
  <c r="L32" i="1"/>
  <c r="L34" i="1"/>
  <c r="O35" i="1"/>
  <c r="O36" i="1"/>
  <c r="L35" i="1"/>
  <c r="L30" i="1"/>
  <c r="O27" i="1"/>
  <c r="L26" i="1"/>
  <c r="K21" i="1"/>
  <c r="D5" i="2" s="1"/>
  <c r="Q21" i="1"/>
  <c r="Q56" i="1" l="1"/>
  <c r="K56" i="1"/>
  <c r="K76" i="1"/>
  <c r="Q76" i="1"/>
  <c r="K142" i="1"/>
  <c r="K43" i="1"/>
  <c r="Q142" i="1"/>
  <c r="K155" i="1"/>
  <c r="Q132" i="1"/>
  <c r="Q168" i="1"/>
  <c r="K168" i="1"/>
  <c r="Q155" i="1"/>
  <c r="K132" i="1"/>
  <c r="K38" i="1"/>
  <c r="Q38" i="1"/>
  <c r="F5" i="2"/>
  <c r="Q44" i="1"/>
  <c r="P44" i="1"/>
  <c r="O44" i="1"/>
  <c r="N44" i="1"/>
  <c r="M44" i="1"/>
  <c r="L44" i="1"/>
  <c r="K44" i="1"/>
  <c r="J44" i="1"/>
  <c r="I44" i="1"/>
  <c r="R352" i="1" l="1"/>
  <c r="K49" i="1"/>
  <c r="D8" i="2" s="1"/>
  <c r="K350" i="1"/>
  <c r="R354" i="1"/>
  <c r="Q49" i="1"/>
  <c r="Q350" i="1"/>
  <c r="D13" i="2"/>
  <c r="D9" i="2"/>
  <c r="D12" i="2"/>
  <c r="D7" i="2"/>
  <c r="D14" i="2"/>
  <c r="D10" i="2"/>
  <c r="L25" i="2" l="1"/>
  <c r="F8" i="2" l="1"/>
  <c r="F9" i="2"/>
  <c r="D6" i="2" l="1"/>
  <c r="F12" i="2" l="1"/>
  <c r="F7" i="2" l="1"/>
  <c r="F6" i="2"/>
  <c r="F14" i="2"/>
  <c r="F13" i="2"/>
  <c r="L23" i="2" l="1"/>
  <c r="D11" i="2"/>
  <c r="D19" i="2" s="1"/>
  <c r="E23" i="2" s="1"/>
  <c r="F10" i="2" l="1"/>
  <c r="L24" i="2" l="1"/>
  <c r="E24" i="2"/>
  <c r="F11" i="2" l="1"/>
  <c r="F19" i="2" s="1"/>
  <c r="L29" i="2" l="1"/>
  <c r="L30" i="2" s="1"/>
  <c r="M47" i="1" s="1"/>
  <c r="P47" i="1" s="1"/>
  <c r="Q47" i="1" s="1"/>
  <c r="M54" i="1" l="1"/>
  <c r="P54" i="1" s="1"/>
  <c r="Q54" i="1" s="1"/>
  <c r="M52" i="1"/>
  <c r="P52" i="1" s="1"/>
  <c r="Q52" i="1" s="1"/>
  <c r="M331" i="1"/>
  <c r="P331" i="1" s="1"/>
  <c r="Q331" i="1" s="1"/>
  <c r="M327" i="1"/>
  <c r="P327" i="1" s="1"/>
  <c r="Q327" i="1" s="1"/>
  <c r="M323" i="1"/>
  <c r="P323" i="1" s="1"/>
  <c r="Q323" i="1" s="1"/>
  <c r="M319" i="1"/>
  <c r="P319" i="1" s="1"/>
  <c r="Q319" i="1" s="1"/>
  <c r="M315" i="1"/>
  <c r="P315" i="1" s="1"/>
  <c r="Q315" i="1" s="1"/>
  <c r="M305" i="1"/>
  <c r="P305" i="1" s="1"/>
  <c r="Q305" i="1" s="1"/>
  <c r="M304" i="1"/>
  <c r="P304" i="1" s="1"/>
  <c r="Q304" i="1" s="1"/>
  <c r="M298" i="1"/>
  <c r="P298" i="1" s="1"/>
  <c r="Q298" i="1" s="1"/>
  <c r="M339" i="1"/>
  <c r="P339" i="1" s="1"/>
  <c r="Q339" i="1" s="1"/>
  <c r="M338" i="1"/>
  <c r="P338" i="1" s="1"/>
  <c r="Q338" i="1" s="1"/>
  <c r="M333" i="1"/>
  <c r="P333" i="1" s="1"/>
  <c r="Q333" i="1" s="1"/>
  <c r="M329" i="1"/>
  <c r="P329" i="1" s="1"/>
  <c r="Q329" i="1" s="1"/>
  <c r="M313" i="1"/>
  <c r="P313" i="1" s="1"/>
  <c r="Q313" i="1" s="1"/>
  <c r="M309" i="1"/>
  <c r="P309" i="1" s="1"/>
  <c r="Q309" i="1" s="1"/>
  <c r="M308" i="1"/>
  <c r="P308" i="1" s="1"/>
  <c r="Q308" i="1" s="1"/>
  <c r="M334" i="1"/>
  <c r="P334" i="1" s="1"/>
  <c r="Q334" i="1" s="1"/>
  <c r="M330" i="1"/>
  <c r="P330" i="1" s="1"/>
  <c r="Q330" i="1" s="1"/>
  <c r="M326" i="1"/>
  <c r="P326" i="1" s="1"/>
  <c r="Q326" i="1" s="1"/>
  <c r="M322" i="1"/>
  <c r="P322" i="1" s="1"/>
  <c r="Q322" i="1" s="1"/>
  <c r="M318" i="1"/>
  <c r="P318" i="1" s="1"/>
  <c r="Q318" i="1" s="1"/>
  <c r="M314" i="1"/>
  <c r="P314" i="1" s="1"/>
  <c r="Q314" i="1" s="1"/>
  <c r="M343" i="1"/>
  <c r="P343" i="1" s="1"/>
  <c r="Q343" i="1" s="1"/>
  <c r="M317" i="1"/>
  <c r="P317" i="1" s="1"/>
  <c r="Q317" i="1" s="1"/>
  <c r="M301" i="1"/>
  <c r="P301" i="1" s="1"/>
  <c r="Q301" i="1" s="1"/>
  <c r="M342" i="1"/>
  <c r="P342" i="1" s="1"/>
  <c r="Q342" i="1" s="1"/>
  <c r="M332" i="1"/>
  <c r="P332" i="1" s="1"/>
  <c r="Q332" i="1" s="1"/>
  <c r="M294" i="1"/>
  <c r="P294" i="1" s="1"/>
  <c r="M328" i="1"/>
  <c r="P328" i="1" s="1"/>
  <c r="Q328" i="1" s="1"/>
  <c r="M316" i="1"/>
  <c r="P316" i="1" s="1"/>
  <c r="Q316" i="1" s="1"/>
  <c r="M283" i="1"/>
  <c r="P283" i="1" s="1"/>
  <c r="Q283" i="1" s="1"/>
  <c r="M282" i="1"/>
  <c r="P282" i="1" s="1"/>
  <c r="Q282" i="1" s="1"/>
  <c r="M278" i="1"/>
  <c r="P278" i="1" s="1"/>
  <c r="Q278" i="1" s="1"/>
  <c r="M274" i="1"/>
  <c r="P274" i="1" s="1"/>
  <c r="Q274" i="1" s="1"/>
  <c r="M260" i="1"/>
  <c r="P260" i="1" s="1"/>
  <c r="Q260" i="1" s="1"/>
  <c r="M256" i="1"/>
  <c r="P256" i="1" s="1"/>
  <c r="Q256" i="1" s="1"/>
  <c r="M252" i="1"/>
  <c r="P252" i="1" s="1"/>
  <c r="Q252" i="1" s="1"/>
  <c r="M248" i="1"/>
  <c r="P248" i="1" s="1"/>
  <c r="Q248" i="1" s="1"/>
  <c r="M244" i="1"/>
  <c r="P244" i="1" s="1"/>
  <c r="Q244" i="1" s="1"/>
  <c r="M240" i="1"/>
  <c r="P240" i="1" s="1"/>
  <c r="Q240" i="1" s="1"/>
  <c r="M236" i="1"/>
  <c r="P236" i="1" s="1"/>
  <c r="Q236" i="1" s="1"/>
  <c r="M232" i="1"/>
  <c r="P232" i="1" s="1"/>
  <c r="Q232" i="1" s="1"/>
  <c r="M228" i="1"/>
  <c r="P228" i="1" s="1"/>
  <c r="Q228" i="1" s="1"/>
  <c r="M281" i="1"/>
  <c r="P281" i="1" s="1"/>
  <c r="Q281" i="1" s="1"/>
  <c r="M277" i="1"/>
  <c r="P277" i="1" s="1"/>
  <c r="Q277" i="1" s="1"/>
  <c r="M273" i="1"/>
  <c r="P273" i="1" s="1"/>
  <c r="Q273" i="1" s="1"/>
  <c r="M259" i="1"/>
  <c r="P259" i="1" s="1"/>
  <c r="Q259" i="1" s="1"/>
  <c r="M255" i="1"/>
  <c r="P255" i="1" s="1"/>
  <c r="Q255" i="1" s="1"/>
  <c r="M251" i="1"/>
  <c r="P251" i="1" s="1"/>
  <c r="Q251" i="1" s="1"/>
  <c r="M247" i="1"/>
  <c r="P247" i="1" s="1"/>
  <c r="Q247" i="1" s="1"/>
  <c r="M243" i="1"/>
  <c r="P243" i="1" s="1"/>
  <c r="Q243" i="1" s="1"/>
  <c r="M239" i="1"/>
  <c r="P239" i="1" s="1"/>
  <c r="Q239" i="1" s="1"/>
  <c r="M235" i="1"/>
  <c r="P235" i="1" s="1"/>
  <c r="Q235" i="1" s="1"/>
  <c r="M231" i="1"/>
  <c r="P231" i="1" s="1"/>
  <c r="Q231" i="1" s="1"/>
  <c r="M227" i="1"/>
  <c r="P227" i="1" s="1"/>
  <c r="Q227" i="1" s="1"/>
  <c r="M275" i="1"/>
  <c r="P275" i="1" s="1"/>
  <c r="Q275" i="1" s="1"/>
  <c r="M257" i="1"/>
  <c r="P257" i="1" s="1"/>
  <c r="Q257" i="1" s="1"/>
  <c r="M250" i="1"/>
  <c r="P250" i="1" s="1"/>
  <c r="Q250" i="1" s="1"/>
  <c r="M241" i="1"/>
  <c r="P241" i="1" s="1"/>
  <c r="Q241" i="1" s="1"/>
  <c r="M234" i="1"/>
  <c r="P234" i="1" s="1"/>
  <c r="Q234" i="1" s="1"/>
  <c r="M225" i="1"/>
  <c r="P225" i="1" s="1"/>
  <c r="M276" i="1"/>
  <c r="P276" i="1" s="1"/>
  <c r="Q276" i="1" s="1"/>
  <c r="M266" i="1"/>
  <c r="P266" i="1" s="1"/>
  <c r="Q266" i="1" s="1"/>
  <c r="M258" i="1"/>
  <c r="P258" i="1" s="1"/>
  <c r="Q258" i="1" s="1"/>
  <c r="M242" i="1"/>
  <c r="P242" i="1" s="1"/>
  <c r="Q242" i="1" s="1"/>
  <c r="M226" i="1"/>
  <c r="P226" i="1" s="1"/>
  <c r="Q226" i="1" s="1"/>
  <c r="M245" i="1"/>
  <c r="P245" i="1" s="1"/>
  <c r="Q245" i="1" s="1"/>
  <c r="M229" i="1"/>
  <c r="P229" i="1" s="1"/>
  <c r="Q229" i="1" s="1"/>
  <c r="M262" i="1"/>
  <c r="P262" i="1" s="1"/>
  <c r="Q262" i="1" s="1"/>
  <c r="M253" i="1"/>
  <c r="P253" i="1" s="1"/>
  <c r="Q253" i="1" s="1"/>
  <c r="M246" i="1"/>
  <c r="P246" i="1" s="1"/>
  <c r="Q246" i="1" s="1"/>
  <c r="M237" i="1"/>
  <c r="P237" i="1" s="1"/>
  <c r="Q237" i="1" s="1"/>
  <c r="M230" i="1"/>
  <c r="P230" i="1" s="1"/>
  <c r="Q230" i="1" s="1"/>
  <c r="M269" i="1"/>
  <c r="P269" i="1" s="1"/>
  <c r="Q269" i="1" s="1"/>
  <c r="M265" i="1"/>
  <c r="P265" i="1" s="1"/>
  <c r="Q265" i="1" s="1"/>
  <c r="M249" i="1"/>
  <c r="P249" i="1" s="1"/>
  <c r="Q249" i="1" s="1"/>
  <c r="M233" i="1"/>
  <c r="P233" i="1" s="1"/>
  <c r="Q233" i="1" s="1"/>
  <c r="M284" i="1"/>
  <c r="P284" i="1" s="1"/>
  <c r="Q284" i="1" s="1"/>
  <c r="M272" i="1"/>
  <c r="P272" i="1" s="1"/>
  <c r="Q272" i="1" s="1"/>
  <c r="M261" i="1"/>
  <c r="P261" i="1" s="1"/>
  <c r="Q261" i="1" s="1"/>
  <c r="M254" i="1"/>
  <c r="P254" i="1" s="1"/>
  <c r="Q254" i="1" s="1"/>
  <c r="M238" i="1"/>
  <c r="P238" i="1" s="1"/>
  <c r="Q238" i="1" s="1"/>
  <c r="M285" i="1"/>
  <c r="P285" i="1" s="1"/>
  <c r="Q285" i="1" s="1"/>
  <c r="M213" i="1"/>
  <c r="P213" i="1" s="1"/>
  <c r="Q213" i="1" s="1"/>
  <c r="M208" i="1"/>
  <c r="P208" i="1" s="1"/>
  <c r="Q208" i="1" s="1"/>
  <c r="M204" i="1"/>
  <c r="P204" i="1" s="1"/>
  <c r="Q204" i="1" s="1"/>
  <c r="M200" i="1"/>
  <c r="P200" i="1" s="1"/>
  <c r="Q200" i="1" s="1"/>
  <c r="M196" i="1"/>
  <c r="P196" i="1" s="1"/>
  <c r="Q196" i="1" s="1"/>
  <c r="M195" i="1"/>
  <c r="P195" i="1" s="1"/>
  <c r="Q195" i="1" s="1"/>
  <c r="M194" i="1"/>
  <c r="P194" i="1" s="1"/>
  <c r="Q194" i="1" s="1"/>
  <c r="M189" i="1"/>
  <c r="P189" i="1" s="1"/>
  <c r="Q189" i="1" s="1"/>
  <c r="M185" i="1"/>
  <c r="P185" i="1" s="1"/>
  <c r="Q185" i="1" s="1"/>
  <c r="M181" i="1"/>
  <c r="P181" i="1" s="1"/>
  <c r="Q181" i="1" s="1"/>
  <c r="M177" i="1"/>
  <c r="P177" i="1" s="1"/>
  <c r="Q177" i="1" s="1"/>
  <c r="M215" i="1"/>
  <c r="P215" i="1" s="1"/>
  <c r="Q215" i="1" s="1"/>
  <c r="M198" i="1"/>
  <c r="P198" i="1" s="1"/>
  <c r="Q198" i="1" s="1"/>
  <c r="M191" i="1"/>
  <c r="P191" i="1" s="1"/>
  <c r="Q191" i="1" s="1"/>
  <c r="M187" i="1"/>
  <c r="P187" i="1" s="1"/>
  <c r="Q187" i="1" s="1"/>
  <c r="M216" i="1"/>
  <c r="P216" i="1" s="1"/>
  <c r="Q216" i="1" s="1"/>
  <c r="M212" i="1"/>
  <c r="P212" i="1" s="1"/>
  <c r="Q212" i="1" s="1"/>
  <c r="M203" i="1"/>
  <c r="P203" i="1" s="1"/>
  <c r="Q203" i="1" s="1"/>
  <c r="M199" i="1"/>
  <c r="P199" i="1" s="1"/>
  <c r="Q199" i="1" s="1"/>
  <c r="M188" i="1"/>
  <c r="P188" i="1" s="1"/>
  <c r="Q188" i="1" s="1"/>
  <c r="M184" i="1"/>
  <c r="P184" i="1" s="1"/>
  <c r="Q184" i="1" s="1"/>
  <c r="M180" i="1"/>
  <c r="P180" i="1" s="1"/>
  <c r="Q180" i="1" s="1"/>
  <c r="M176" i="1"/>
  <c r="P176" i="1" s="1"/>
  <c r="Q176" i="1" s="1"/>
  <c r="M175" i="1"/>
  <c r="P175" i="1" s="1"/>
  <c r="Q175" i="1" s="1"/>
  <c r="M174" i="1"/>
  <c r="P174" i="1" s="1"/>
  <c r="Q174" i="1" s="1"/>
  <c r="M173" i="1"/>
  <c r="P173" i="1" s="1"/>
  <c r="Q173" i="1" s="1"/>
  <c r="M172" i="1"/>
  <c r="P172" i="1" s="1"/>
  <c r="M202" i="1"/>
  <c r="P202" i="1" s="1"/>
  <c r="Q202" i="1" s="1"/>
  <c r="M214" i="1"/>
  <c r="P214" i="1" s="1"/>
  <c r="Q214" i="1" s="1"/>
  <c r="M197" i="1"/>
  <c r="P197" i="1" s="1"/>
  <c r="Q197" i="1" s="1"/>
  <c r="M186" i="1"/>
  <c r="P186" i="1" s="1"/>
  <c r="Q186" i="1" s="1"/>
  <c r="M182" i="1"/>
  <c r="P182" i="1" s="1"/>
  <c r="Q182" i="1" s="1"/>
  <c r="M183" i="1"/>
  <c r="P183" i="1" s="1"/>
  <c r="Q183" i="1" s="1"/>
  <c r="M209" i="1"/>
  <c r="P209" i="1" s="1"/>
  <c r="Q209" i="1" s="1"/>
  <c r="M201" i="1"/>
  <c r="P201" i="1" s="1"/>
  <c r="Q201" i="1" s="1"/>
  <c r="M190" i="1"/>
  <c r="P190" i="1" s="1"/>
  <c r="Q190" i="1" s="1"/>
  <c r="M178" i="1"/>
  <c r="P178" i="1" s="1"/>
  <c r="Q178" i="1" s="1"/>
  <c r="M205" i="1"/>
  <c r="P205" i="1" s="1"/>
  <c r="Q205" i="1" s="1"/>
  <c r="M179" i="1"/>
  <c r="P179" i="1" s="1"/>
  <c r="Q179" i="1" s="1"/>
  <c r="M129" i="1"/>
  <c r="P129" i="1" s="1"/>
  <c r="Q129" i="1" s="1"/>
  <c r="M46" i="1"/>
  <c r="P46" i="1" s="1"/>
  <c r="M130" i="1"/>
  <c r="P130" i="1" s="1"/>
  <c r="Q130" i="1" s="1"/>
  <c r="M124" i="1"/>
  <c r="P124" i="1" s="1"/>
  <c r="Q124" i="1" s="1"/>
  <c r="M109" i="1"/>
  <c r="P109" i="1" s="1"/>
  <c r="Q109" i="1" s="1"/>
  <c r="M108" i="1"/>
  <c r="P108" i="1" s="1"/>
  <c r="Q108" i="1" s="1"/>
  <c r="M122" i="1"/>
  <c r="P122" i="1" s="1"/>
  <c r="Q122" i="1" s="1"/>
  <c r="M121" i="1"/>
  <c r="P121" i="1" s="1"/>
  <c r="Q121" i="1" s="1"/>
  <c r="M123" i="1"/>
  <c r="P123" i="1" s="1"/>
  <c r="Q123" i="1" s="1"/>
  <c r="M137" i="1"/>
  <c r="P137" i="1" s="1"/>
  <c r="Q137" i="1" s="1"/>
  <c r="M138" i="1"/>
  <c r="P138" i="1" s="1"/>
  <c r="Q138" i="1" s="1"/>
  <c r="M127" i="1"/>
  <c r="P127" i="1" s="1"/>
  <c r="Q127" i="1" s="1"/>
  <c r="M140" i="1"/>
  <c r="P140" i="1" s="1"/>
  <c r="Q140" i="1" s="1"/>
  <c r="M41" i="1"/>
  <c r="P41" i="1" s="1"/>
  <c r="M139" i="1"/>
  <c r="P139" i="1" s="1"/>
  <c r="Q139" i="1" s="1"/>
  <c r="M135" i="1"/>
  <c r="P135" i="1" s="1"/>
  <c r="M126" i="1"/>
  <c r="P126" i="1" s="1"/>
  <c r="Q126" i="1" s="1"/>
  <c r="M118" i="1"/>
  <c r="P118" i="1" s="1"/>
  <c r="Q118" i="1" s="1"/>
  <c r="M117" i="1"/>
  <c r="P117" i="1" s="1"/>
  <c r="Q117" i="1" s="1"/>
  <c r="M166" i="1"/>
  <c r="P166" i="1" s="1"/>
  <c r="Q166" i="1" s="1"/>
  <c r="M119" i="1"/>
  <c r="P119" i="1" s="1"/>
  <c r="Q119" i="1" s="1"/>
  <c r="M161" i="1"/>
  <c r="P161" i="1" s="1"/>
  <c r="Q161" i="1" s="1"/>
  <c r="M147" i="1"/>
  <c r="P147" i="1" s="1"/>
  <c r="Q147" i="1" s="1"/>
  <c r="M146" i="1"/>
  <c r="P146" i="1" s="1"/>
  <c r="Q146" i="1" s="1"/>
  <c r="M115" i="1"/>
  <c r="P115" i="1" s="1"/>
  <c r="Q115" i="1" s="1"/>
  <c r="M145" i="1"/>
  <c r="P145" i="1" s="1"/>
  <c r="Q145" i="1" s="1"/>
  <c r="M153" i="1"/>
  <c r="P153" i="1" s="1"/>
  <c r="Q153" i="1" s="1"/>
  <c r="M152" i="1"/>
  <c r="P152" i="1" s="1"/>
  <c r="Q152" i="1" s="1"/>
  <c r="M151" i="1"/>
  <c r="P151" i="1" s="1"/>
  <c r="Q151" i="1" s="1"/>
  <c r="M150" i="1"/>
  <c r="P150" i="1" s="1"/>
  <c r="Q150" i="1" s="1"/>
  <c r="M116" i="1"/>
  <c r="P116" i="1" s="1"/>
  <c r="Q116" i="1" s="1"/>
  <c r="M149" i="1"/>
  <c r="P149" i="1" s="1"/>
  <c r="Q149" i="1" s="1"/>
  <c r="M165" i="1"/>
  <c r="P165" i="1" s="1"/>
  <c r="Q165" i="1" s="1"/>
  <c r="M160" i="1"/>
  <c r="P160" i="1" s="1"/>
  <c r="Q160" i="1" s="1"/>
  <c r="M159" i="1"/>
  <c r="P159" i="1" s="1"/>
  <c r="Q159" i="1" s="1"/>
  <c r="M158" i="1"/>
  <c r="P158" i="1" s="1"/>
  <c r="M163" i="1"/>
  <c r="P163" i="1" s="1"/>
  <c r="Q163" i="1" s="1"/>
  <c r="M73" i="1"/>
  <c r="P73" i="1" s="1"/>
  <c r="Q73" i="1" s="1"/>
  <c r="M72" i="1"/>
  <c r="P72" i="1" s="1"/>
  <c r="Q72" i="1" s="1"/>
  <c r="M71" i="1"/>
  <c r="P71" i="1" s="1"/>
  <c r="Q71" i="1" s="1"/>
  <c r="M74" i="1"/>
  <c r="P74" i="1" s="1"/>
  <c r="Q74" i="1" s="1"/>
  <c r="M128" i="1"/>
  <c r="P128" i="1" s="1"/>
  <c r="Q128" i="1" s="1"/>
  <c r="M70" i="1"/>
  <c r="P70" i="1" s="1"/>
  <c r="Q70" i="1" s="1"/>
  <c r="M66" i="1"/>
  <c r="P66" i="1" s="1"/>
  <c r="Q66" i="1" s="1"/>
  <c r="M68" i="1"/>
  <c r="P68" i="1" s="1"/>
  <c r="Q68" i="1" s="1"/>
  <c r="M61" i="1"/>
  <c r="P61" i="1" s="1"/>
  <c r="Q61" i="1" s="1"/>
  <c r="M64" i="1"/>
  <c r="P64" i="1" s="1"/>
  <c r="Q64" i="1" s="1"/>
  <c r="M60" i="1"/>
  <c r="P60" i="1" s="1"/>
  <c r="Q60" i="1" s="1"/>
  <c r="M63" i="1"/>
  <c r="P63" i="1" s="1"/>
  <c r="Q63" i="1" s="1"/>
  <c r="M59" i="1"/>
  <c r="P59" i="1" s="1"/>
  <c r="M62" i="1"/>
  <c r="P62" i="1" s="1"/>
  <c r="Q62" i="1" s="1"/>
  <c r="M105" i="1"/>
  <c r="P105" i="1" s="1"/>
  <c r="Q105" i="1" s="1"/>
  <c r="M98" i="1"/>
  <c r="P98" i="1" s="1"/>
  <c r="Q98" i="1" s="1"/>
  <c r="M84" i="1"/>
  <c r="P84" i="1" s="1"/>
  <c r="Q84" i="1" s="1"/>
  <c r="M91" i="1"/>
  <c r="P91" i="1" s="1"/>
  <c r="Q91" i="1" s="1"/>
  <c r="M87" i="1"/>
  <c r="P87" i="1" s="1"/>
  <c r="Q87" i="1" s="1"/>
  <c r="M93" i="1"/>
  <c r="P93" i="1" s="1"/>
  <c r="Q93" i="1" s="1"/>
  <c r="M103" i="1"/>
  <c r="P103" i="1" s="1"/>
  <c r="Q103" i="1" s="1"/>
  <c r="M95" i="1"/>
  <c r="P95" i="1" s="1"/>
  <c r="Q95" i="1" s="1"/>
  <c r="M88" i="1"/>
  <c r="P88" i="1" s="1"/>
  <c r="Q88" i="1" s="1"/>
  <c r="M81" i="1"/>
  <c r="P81" i="1" s="1"/>
  <c r="Q81" i="1" s="1"/>
  <c r="M89" i="1"/>
  <c r="P89" i="1" s="1"/>
  <c r="Q89" i="1" s="1"/>
  <c r="M104" i="1"/>
  <c r="P104" i="1" s="1"/>
  <c r="Q104" i="1" s="1"/>
  <c r="M107" i="1"/>
  <c r="P107" i="1" s="1"/>
  <c r="Q107" i="1" s="1"/>
  <c r="M97" i="1"/>
  <c r="P97" i="1" s="1"/>
  <c r="Q97" i="1" s="1"/>
  <c r="M83" i="1"/>
  <c r="P83" i="1" s="1"/>
  <c r="Q83" i="1" s="1"/>
  <c r="M80" i="1"/>
  <c r="P80" i="1" s="1"/>
  <c r="Q80" i="1" s="1"/>
  <c r="M90" i="1"/>
  <c r="P90" i="1" s="1"/>
  <c r="Q90" i="1" s="1"/>
  <c r="M86" i="1"/>
  <c r="P86" i="1" s="1"/>
  <c r="Q86" i="1" s="1"/>
  <c r="M82" i="1"/>
  <c r="P82" i="1" s="1"/>
  <c r="Q82" i="1" s="1"/>
  <c r="M106" i="1"/>
  <c r="P106" i="1" s="1"/>
  <c r="Q106" i="1" s="1"/>
  <c r="M99" i="1"/>
  <c r="P99" i="1" s="1"/>
  <c r="Q99" i="1" s="1"/>
  <c r="M94" i="1"/>
  <c r="P94" i="1" s="1"/>
  <c r="Q94" i="1" s="1"/>
  <c r="M100" i="1"/>
  <c r="P100" i="1" s="1"/>
  <c r="Q100" i="1" s="1"/>
  <c r="M101" i="1"/>
  <c r="P101" i="1" s="1"/>
  <c r="Q101" i="1" s="1"/>
  <c r="M24" i="1"/>
  <c r="P24" i="1" s="1"/>
  <c r="M30" i="1"/>
  <c r="P30" i="1" s="1"/>
  <c r="Q30" i="1" s="1"/>
  <c r="M27" i="1"/>
  <c r="P27" i="1" s="1"/>
  <c r="Q27" i="1" s="1"/>
  <c r="M25" i="1"/>
  <c r="P25" i="1" s="1"/>
  <c r="Q25" i="1" s="1"/>
  <c r="M31" i="1"/>
  <c r="P31" i="1" s="1"/>
  <c r="Q31" i="1" s="1"/>
  <c r="M28" i="1"/>
  <c r="P28" i="1" s="1"/>
  <c r="Q28" i="1" s="1"/>
  <c r="M36" i="1"/>
  <c r="P36" i="1" s="1"/>
  <c r="Q36" i="1" s="1"/>
  <c r="M35" i="1"/>
  <c r="P35" i="1" s="1"/>
  <c r="Q35" i="1" s="1"/>
  <c r="M34" i="1"/>
  <c r="P34" i="1" s="1"/>
  <c r="Q34" i="1" s="1"/>
  <c r="M33" i="1"/>
  <c r="P33" i="1" s="1"/>
  <c r="Q33" i="1" s="1"/>
  <c r="M32" i="1"/>
  <c r="P32" i="1" s="1"/>
  <c r="Q32" i="1" s="1"/>
  <c r="M29" i="1"/>
  <c r="P29" i="1" s="1"/>
  <c r="Q29" i="1" s="1"/>
  <c r="M26" i="1"/>
  <c r="P26" i="1" s="1"/>
  <c r="Q26" i="1" s="1"/>
  <c r="M9" i="1"/>
  <c r="Q9" i="1" s="1"/>
  <c r="M16" i="1"/>
  <c r="Q16" i="1" s="1"/>
  <c r="M17" i="1"/>
  <c r="Q17" i="1" s="1"/>
  <c r="M14" i="1"/>
  <c r="Q14" i="1" s="1"/>
  <c r="M13" i="1"/>
  <c r="Q13" i="1" s="1"/>
  <c r="M12" i="1"/>
  <c r="Q12" i="1" s="1"/>
  <c r="M18" i="1"/>
  <c r="Q18" i="1" s="1"/>
  <c r="M15" i="1"/>
  <c r="Q15" i="1" s="1"/>
  <c r="M11" i="1"/>
  <c r="Q11" i="1" s="1"/>
  <c r="M10" i="1"/>
  <c r="Q10" i="1" s="1"/>
  <c r="M112" i="1"/>
  <c r="P112" i="1" s="1"/>
  <c r="Q112" i="1" s="1"/>
  <c r="M111" i="1"/>
  <c r="P111" i="1" s="1"/>
  <c r="M113" i="1"/>
  <c r="P113" i="1" s="1"/>
  <c r="R56" i="1" l="1"/>
  <c r="N56" i="1"/>
  <c r="E9" i="2" s="1"/>
  <c r="G9" i="2" s="1"/>
  <c r="H9" i="2" s="1"/>
  <c r="Q294" i="1"/>
  <c r="R348" i="1" s="1"/>
  <c r="N348" i="1"/>
  <c r="E17" i="2" s="1"/>
  <c r="Q225" i="1"/>
  <c r="R291" i="1" s="1"/>
  <c r="N291" i="1"/>
  <c r="E16" i="2" s="1"/>
  <c r="Q46" i="1"/>
  <c r="R49" i="1" s="1"/>
  <c r="N49" i="1"/>
  <c r="E8" i="2" s="1"/>
  <c r="G8" i="2" s="1"/>
  <c r="H8" i="2" s="1"/>
  <c r="Q172" i="1"/>
  <c r="R221" i="1" s="1"/>
  <c r="N221" i="1"/>
  <c r="E15" i="2" s="1"/>
  <c r="N43" i="1"/>
  <c r="E7" i="2" s="1"/>
  <c r="Q41" i="1"/>
  <c r="R43" i="1" s="1"/>
  <c r="N142" i="1"/>
  <c r="E12" i="2" s="1"/>
  <c r="G12" i="2" s="1"/>
  <c r="H12" i="2" s="1"/>
  <c r="Q135" i="1"/>
  <c r="R142" i="1" s="1"/>
  <c r="R155" i="1"/>
  <c r="N155" i="1"/>
  <c r="E13" i="2" s="1"/>
  <c r="G13" i="2" s="1"/>
  <c r="H13" i="2" s="1"/>
  <c r="N168" i="1"/>
  <c r="E14" i="2" s="1"/>
  <c r="Q158" i="1"/>
  <c r="R168" i="1" s="1"/>
  <c r="Q59" i="1"/>
  <c r="R76" i="1" s="1"/>
  <c r="N76" i="1"/>
  <c r="E10" i="2" s="1"/>
  <c r="Q24" i="1"/>
  <c r="R38" i="1" s="1"/>
  <c r="N38" i="1"/>
  <c r="E6" i="2" s="1"/>
  <c r="R21" i="1"/>
  <c r="N21" i="1"/>
  <c r="E5" i="2" s="1"/>
  <c r="G5" i="2" s="1"/>
  <c r="H5" i="2" s="1"/>
  <c r="N132" i="1"/>
  <c r="E11" i="2" s="1"/>
  <c r="Q113" i="1"/>
  <c r="N350" i="1"/>
  <c r="Q111" i="1"/>
  <c r="R353" i="1"/>
  <c r="P1" i="1" s="1"/>
  <c r="I9" i="2" l="1"/>
  <c r="J9" i="2"/>
  <c r="G17" i="2"/>
  <c r="H17" i="2" s="1"/>
  <c r="G16" i="2"/>
  <c r="H16" i="2" s="1"/>
  <c r="J8" i="2"/>
  <c r="I8" i="2"/>
  <c r="G15" i="2"/>
  <c r="H15" i="2" s="1"/>
  <c r="G7" i="2"/>
  <c r="H7" i="2" s="1"/>
  <c r="I12" i="2"/>
  <c r="J12" i="2"/>
  <c r="G14" i="2"/>
  <c r="H14" i="2" s="1"/>
  <c r="I13" i="2"/>
  <c r="J13" i="2"/>
  <c r="G10" i="2"/>
  <c r="H10" i="2" s="1"/>
  <c r="G6" i="2"/>
  <c r="H6" i="2" s="1"/>
  <c r="J5" i="2"/>
  <c r="I5" i="2"/>
  <c r="R132" i="1"/>
  <c r="R350" i="1" s="1"/>
  <c r="E19" i="2"/>
  <c r="E26" i="2" s="1"/>
  <c r="G11" i="2"/>
  <c r="P3" i="1"/>
  <c r="P2" i="1"/>
  <c r="L9" i="2" l="1"/>
  <c r="L8" i="2"/>
  <c r="J17" i="2"/>
  <c r="I17" i="2"/>
  <c r="I16" i="2"/>
  <c r="J16" i="2"/>
  <c r="L12" i="2"/>
  <c r="I15" i="2"/>
  <c r="J15" i="2"/>
  <c r="I7" i="2"/>
  <c r="J7" i="2"/>
  <c r="L13" i="2"/>
  <c r="J14" i="2"/>
  <c r="I14" i="2"/>
  <c r="G19" i="2"/>
  <c r="J10" i="2"/>
  <c r="I10" i="2"/>
  <c r="I6" i="2"/>
  <c r="J6" i="2"/>
  <c r="H11" i="2"/>
  <c r="E27" i="2"/>
  <c r="L17" i="2" l="1"/>
  <c r="L16" i="2"/>
  <c r="L15" i="2"/>
  <c r="L14" i="2"/>
  <c r="L7" i="2"/>
  <c r="L10" i="2"/>
  <c r="L6" i="2"/>
  <c r="E28" i="2"/>
  <c r="E30" i="2" s="1"/>
  <c r="P4" i="1"/>
  <c r="P5" i="1" s="1"/>
  <c r="H19" i="2"/>
  <c r="I11" i="2"/>
  <c r="I19" i="2" s="1"/>
  <c r="J11" i="2"/>
  <c r="J19" i="2" s="1"/>
  <c r="E29" i="2" l="1"/>
  <c r="E31" i="2" s="1"/>
  <c r="E34" i="2" s="1"/>
  <c r="L11" i="2"/>
  <c r="K5" i="2"/>
  <c r="K19" i="2" l="1"/>
  <c r="L5" i="2"/>
  <c r="L19" i="2" l="1"/>
</calcChain>
</file>

<file path=xl/sharedStrings.xml><?xml version="1.0" encoding="utf-8"?>
<sst xmlns="http://schemas.openxmlformats.org/spreadsheetml/2006/main" count="973" uniqueCount="422">
  <si>
    <t>SR.
NO.</t>
  </si>
  <si>
    <t>DESCRIPTION</t>
  </si>
  <si>
    <t>QUANTITY</t>
  </si>
  <si>
    <t>UNIT</t>
  </si>
  <si>
    <t>MATERIAL 
COST</t>
  </si>
  <si>
    <t>MANHOURS COST</t>
  </si>
  <si>
    <t>UNIT MANHOURS</t>
  </si>
  <si>
    <t>TOTAL MANHOURS</t>
  </si>
  <si>
    <t>TOTAL
COST</t>
  </si>
  <si>
    <t>UNIT MATERIAL
COST</t>
  </si>
  <si>
    <t>DWG. NO.</t>
  </si>
  <si>
    <t>DETAIL NO.</t>
  </si>
  <si>
    <t>SUBTOTAL MATERIAL</t>
  </si>
  <si>
    <t>SUBTOTAL LABOR</t>
  </si>
  <si>
    <t>COMPOSITE LABOR RATE</t>
  </si>
  <si>
    <t>BID SUMMARY</t>
  </si>
  <si>
    <t>MATERIAL COST</t>
  </si>
  <si>
    <t>LABOR COST</t>
  </si>
  <si>
    <t>MATERIAL TAX</t>
  </si>
  <si>
    <t>LABOR TAX</t>
  </si>
  <si>
    <t>TOTAL COST</t>
  </si>
  <si>
    <t>OVERHEADS</t>
  </si>
  <si>
    <t>PROFITS</t>
  </si>
  <si>
    <t>TOTAL PRICE</t>
  </si>
  <si>
    <t>TOTALS</t>
  </si>
  <si>
    <t>BID RECAP</t>
  </si>
  <si>
    <t>TOTAL MATERIAL COST</t>
  </si>
  <si>
    <t>TOTAL LABOR COST</t>
  </si>
  <si>
    <t>MATERIAL SALES TAX</t>
  </si>
  <si>
    <t>OVERHEADS @</t>
  </si>
  <si>
    <t>JOB EXPENSE</t>
  </si>
  <si>
    <t>TOTAL COST WITH OVERHEADS + PROFIT</t>
  </si>
  <si>
    <t>PROFIT @</t>
  </si>
  <si>
    <t>BASE BID PRICE</t>
  </si>
  <si>
    <t>MAN LOAD</t>
  </si>
  <si>
    <t>SUPERVISOR RATE</t>
  </si>
  <si>
    <t>UNSKILLED LABOR RATE</t>
  </si>
  <si>
    <t>TOTAL MANHOURS WITH SUPERVISION</t>
  </si>
  <si>
    <t>NUMBER OF MAN-DAYS</t>
  </si>
  <si>
    <t>PREVAILING WAGE RATE</t>
  </si>
  <si>
    <t>MAN-LOADING AND SUPERVISION ANALYSIS</t>
  </si>
  <si>
    <t>INSERT VALUES IN YELLOW HIGHLIGHTED CELLS WHERE APPLICABLE</t>
  </si>
  <si>
    <t>SUBTOTAL HOURS</t>
  </si>
  <si>
    <t>CSI NO.</t>
  </si>
  <si>
    <t>09 00 00</t>
  </si>
  <si>
    <t>OPENINGS</t>
  </si>
  <si>
    <t>08 00 00</t>
  </si>
  <si>
    <t>FINISHES</t>
  </si>
  <si>
    <t>JOURNEYMAN RATE</t>
  </si>
  <si>
    <t>Mudding Compound (12 LBS)</t>
  </si>
  <si>
    <t>Screws (244 EA)</t>
  </si>
  <si>
    <t>ROLLS</t>
  </si>
  <si>
    <t>BUCKETS</t>
  </si>
  <si>
    <t>BOXES</t>
  </si>
  <si>
    <t>Taping (180' L)</t>
  </si>
  <si>
    <t>02 00 00</t>
  </si>
  <si>
    <t>WOOD, PLASTICS, AND COMPOSITES</t>
  </si>
  <si>
    <t>THERMAL AND MOISTURE PROTECTION</t>
  </si>
  <si>
    <t>10 00 00</t>
  </si>
  <si>
    <t>SPECIALTIES</t>
  </si>
  <si>
    <t>11 00 00</t>
  </si>
  <si>
    <t>EQUIPMENT</t>
  </si>
  <si>
    <t>12 00 00</t>
  </si>
  <si>
    <t>FURNISHINGS</t>
  </si>
  <si>
    <t>SELECTIVE DEMOLITION</t>
  </si>
  <si>
    <t>DIVISION 02 - EXISTING CONDITIONS/ DEMOLITION</t>
  </si>
  <si>
    <t xml:space="preserve">02 41 19 </t>
  </si>
  <si>
    <t>DIVISION 05 - METALS</t>
  </si>
  <si>
    <t>METAL FABRICATIONS</t>
  </si>
  <si>
    <t xml:space="preserve">05 50 00   </t>
  </si>
  <si>
    <t>ROUGH CARPENTRY</t>
  </si>
  <si>
    <t xml:space="preserve">06 10 00 </t>
  </si>
  <si>
    <t>FIRESTOPPING</t>
  </si>
  <si>
    <t xml:space="preserve">07 84 00 </t>
  </si>
  <si>
    <t>JOINT SEALANTS</t>
  </si>
  <si>
    <t xml:space="preserve">07 92 00  </t>
  </si>
  <si>
    <t>DIVISION 08 - OPENINGS</t>
  </si>
  <si>
    <t>WOOD DOORS</t>
  </si>
  <si>
    <t xml:space="preserve">08 14 00 </t>
  </si>
  <si>
    <t>ACCESS DOORS AND FRAMES</t>
  </si>
  <si>
    <t xml:space="preserve">08 31 13 </t>
  </si>
  <si>
    <t>METAL WINDOWS</t>
  </si>
  <si>
    <t xml:space="preserve">08 51 00 </t>
  </si>
  <si>
    <t>DOOR HARDWARE</t>
  </si>
  <si>
    <t xml:space="preserve">08 71 00 </t>
  </si>
  <si>
    <t>DIVISION 09 - FINISHES</t>
  </si>
  <si>
    <t>GYPSUM BOARD ASSEMBLIES</t>
  </si>
  <si>
    <t xml:space="preserve">09 21 16 </t>
  </si>
  <si>
    <t>PAINTING</t>
  </si>
  <si>
    <t xml:space="preserve">09 91 00 </t>
  </si>
  <si>
    <t>DIVISION 10 - SPECIALTIES</t>
  </si>
  <si>
    <t>SHOWER AND DRESSING COMPARTMENTS</t>
  </si>
  <si>
    <t xml:space="preserve">10 21 16 </t>
  </si>
  <si>
    <t>BATH ACCESSORIES</t>
  </si>
  <si>
    <t xml:space="preserve">10 28 16  </t>
  </si>
  <si>
    <t>DIVISION 11 - EQUIPMENT</t>
  </si>
  <si>
    <t>RESIDENTIAL APPLIANCES</t>
  </si>
  <si>
    <t xml:space="preserve">11 31 00 </t>
  </si>
  <si>
    <t>UNIT KITCHENS</t>
  </si>
  <si>
    <t xml:space="preserve">11 32 00 </t>
  </si>
  <si>
    <t>DIVISION 12 - FURNISHINGS</t>
  </si>
  <si>
    <t>CASEWORK</t>
  </si>
  <si>
    <t xml:space="preserve">12 30 00 </t>
  </si>
  <si>
    <t>COUNTERTOPS</t>
  </si>
  <si>
    <t xml:space="preserve">12 36 00 </t>
  </si>
  <si>
    <t>FURNISHINGS AND ACCESSORIES</t>
  </si>
  <si>
    <t xml:space="preserve">12 40 00 </t>
  </si>
  <si>
    <t>DIVISION 06 - WOOD, PLASTICS, AND COMPOSITES</t>
  </si>
  <si>
    <t>DIVISION 07 - THERMAL AND MOISTURE PROTECTION</t>
  </si>
  <si>
    <t>Notes:</t>
  </si>
  <si>
    <t>Date:</t>
  </si>
  <si>
    <t>All other prices are excluded that are not included in the estimate above.</t>
  </si>
  <si>
    <t>METALS</t>
  </si>
  <si>
    <t>06 00 00</t>
  </si>
  <si>
    <t>05 00 00</t>
  </si>
  <si>
    <t>07 00 00</t>
  </si>
  <si>
    <t>DIVISION</t>
  </si>
  <si>
    <t>BOND &amp; INSURANCE</t>
  </si>
  <si>
    <t>PROJECT SUPERVISION &amp; PROJECT MANAGEMENT</t>
  </si>
  <si>
    <t>PROJECT SCHEDULE (Primavera P3 or P6)</t>
  </si>
  <si>
    <t>OFFICE OVERHEADS</t>
  </si>
  <si>
    <t>QTY W/
WASTAGE</t>
  </si>
  <si>
    <t>MAN HOUR RATE</t>
  </si>
  <si>
    <t>WASTAGE %</t>
  </si>
  <si>
    <t>01 00 00</t>
  </si>
  <si>
    <t>DIVISION 01 - GENERAL REQUIREMENTS</t>
  </si>
  <si>
    <t>GENERAL REQUIREMENTS</t>
  </si>
  <si>
    <t>DIVISION 22 - PLUMBING</t>
  </si>
  <si>
    <t>DIVISION 23 - HEATING, VENTILATING &amp; AIR- CONDITIOINING</t>
  </si>
  <si>
    <t>DIVISION 26 - ELECTRICAL</t>
  </si>
  <si>
    <t>22 00 00</t>
  </si>
  <si>
    <t>23 00 00</t>
  </si>
  <si>
    <t>26 00 00</t>
  </si>
  <si>
    <t>PLUMBING</t>
  </si>
  <si>
    <t>ELECTRICAL</t>
  </si>
  <si>
    <t>SF</t>
  </si>
  <si>
    <t>EXISTING CONDITIONS/ DEMOLITION</t>
  </si>
  <si>
    <t>ADDITIONAL COST (If Any)</t>
  </si>
  <si>
    <t>Conduits</t>
  </si>
  <si>
    <t>BRANCH WIRING</t>
  </si>
  <si>
    <t>Conduit- Lighting</t>
  </si>
  <si>
    <t>Conductor- Lighting</t>
  </si>
  <si>
    <t>Conduit- Power</t>
  </si>
  <si>
    <t>Conductor- Power</t>
  </si>
  <si>
    <t>WIRING DEVICES</t>
  </si>
  <si>
    <t>Devices</t>
  </si>
  <si>
    <t>LIGHTING CONTROLS</t>
  </si>
  <si>
    <t>ROUGH IN FOR FIRE ALARM SYSTEM</t>
  </si>
  <si>
    <t>FIXTURES</t>
  </si>
  <si>
    <t>PIPES</t>
  </si>
  <si>
    <t>DUCTS</t>
  </si>
  <si>
    <t>INSULATION</t>
  </si>
  <si>
    <t>TOTAL LABOR HOURS</t>
  </si>
  <si>
    <t>OVERHEAD COST</t>
  </si>
  <si>
    <t>PROFIT COST</t>
  </si>
  <si>
    <t>PROJECT COST</t>
  </si>
  <si>
    <t>TOTAL MATERIAL</t>
  </si>
  <si>
    <t>TOTAL LABOR</t>
  </si>
  <si>
    <t>TOTAL HOURS</t>
  </si>
  <si>
    <t>LF</t>
  </si>
  <si>
    <t>TOTAL BID COST</t>
  </si>
  <si>
    <t>HEATING, VENTILATING &amp; AIR- CONDITIONING</t>
  </si>
  <si>
    <t xml:space="preserve">09 64 19 </t>
  </si>
  <si>
    <t>WOOD FLOORING</t>
  </si>
  <si>
    <t>LS</t>
  </si>
  <si>
    <t>SUBMITTALS, SAMPLES, SHOP DRAWINGS, SITE SAFETY PLAN, ETC.</t>
  </si>
  <si>
    <t>TEMPORARY FACILITIES &amp; CONTROLS INCL. 
- CONTRACTOR'S FIELD OFFICE
- TEMPORARY UTILITIES
- AUTHORITY'S FIELD OFFICE ( SF) 
- FURNISHINGS</t>
  </si>
  <si>
    <t>MOBILIZATION AND DEMOBILIZATION</t>
  </si>
  <si>
    <t>CLOSEOUT PROCEDURES</t>
  </si>
  <si>
    <t>PERMITS (DOT, DOB &amp; After hour permits ETC.)</t>
  </si>
  <si>
    <t>SAFETY REQUIREMENTS</t>
  </si>
  <si>
    <t>Addendum: N/A</t>
  </si>
  <si>
    <t>Online sources are used for pricing purpose. Please verify, as per your own convenience.</t>
  </si>
  <si>
    <t>Prices can vary depending upon field conditions.</t>
  </si>
  <si>
    <t>Cells highlighted with green, please price the items as per your own facility.</t>
  </si>
  <si>
    <t>PRIVATE RESIDENCE</t>
  </si>
  <si>
    <t>354A GATES AVENUE, BROOKLYN, NY 11216</t>
  </si>
  <si>
    <t>Project Scope: GC</t>
  </si>
  <si>
    <t>Remove existing partition wall as required</t>
  </si>
  <si>
    <t>DM070-071</t>
  </si>
  <si>
    <t>Remove single door incl frame in its entirety</t>
  </si>
  <si>
    <t>EA</t>
  </si>
  <si>
    <t>Remove existing GWB ceiling as required</t>
  </si>
  <si>
    <t>Remove existing (2'-10"x2'-10") hatch to cellar</t>
  </si>
  <si>
    <t>DM070</t>
  </si>
  <si>
    <t>LOC</t>
  </si>
  <si>
    <t>Remove existing window</t>
  </si>
  <si>
    <t>Probe existing enclosure to determine what is there and if it needs to be preserved</t>
  </si>
  <si>
    <t>Remove existing stair landing as required</t>
  </si>
  <si>
    <t>DM071</t>
  </si>
  <si>
    <t>Remove existing (2'-2" W) kitchen millwork in its entirety</t>
  </si>
  <si>
    <t>Remove existing washer/ dryer</t>
  </si>
  <si>
    <t>Remove double door incl frame in its entirety</t>
  </si>
  <si>
    <t>Remove existing toilet accessories = 1 Toilet</t>
  </si>
  <si>
    <t>Remove existing (1'-6" W) vanity</t>
  </si>
  <si>
    <t>(1 HR Rated) Partition wall type 1 as:</t>
  </si>
  <si>
    <t>(3-5/8") Top and bottom metal track</t>
  </si>
  <si>
    <t>(3-5/8") Metal studs @ 16" O.C.</t>
  </si>
  <si>
    <t>(1 Layer, 5/8" Thk.) Gypsum wall board on both sides</t>
  </si>
  <si>
    <t>(3-1/2" Thk.) Mineral fiber S.A.F.B. insulation</t>
  </si>
  <si>
    <t>Sealant @ top and bottom on each side</t>
  </si>
  <si>
    <t>A100-101</t>
  </si>
  <si>
    <t>(1 Layer, 5/8" Thk.) Gypsum wall board on one side</t>
  </si>
  <si>
    <t>(1 Layer, 1/2" Thk.) Cement board on one side</t>
  </si>
  <si>
    <t>Pocket door partition wall type 3 as:</t>
  </si>
  <si>
    <t>(1 HR Rated) Partition wall type 2 as:</t>
  </si>
  <si>
    <t>(2-1/2") Metal studs</t>
  </si>
  <si>
    <t>(2-1/2", 20 GA.) Top and bottom metal track</t>
  </si>
  <si>
    <t>(2-1/2", 20 GA.) Metal studs @ 16" O.C.</t>
  </si>
  <si>
    <t>(1 Layer, 5/8" Thk.) Type X, Gypsum wall board on one side</t>
  </si>
  <si>
    <t>Sealant @ top and bottom on one side</t>
  </si>
  <si>
    <t>(1 HR Rated) Partition wall type 4 as:</t>
  </si>
  <si>
    <t>Partition wall infill as:</t>
  </si>
  <si>
    <t>Wall type @ A035</t>
  </si>
  <si>
    <t>(2'-10"x6'-8") Solid core wood door w/ wood frame</t>
  </si>
  <si>
    <t>A040</t>
  </si>
  <si>
    <t>See Door Sche.</t>
  </si>
  <si>
    <t>(2'-0"x6'-8") Solid core wood door w/ wood frame</t>
  </si>
  <si>
    <t>(2'-10"x7'-0") Solid core wood door w/ wood frame</t>
  </si>
  <si>
    <t>(2'-8"x7'-0") Solid core wood door w/ wood frame</t>
  </si>
  <si>
    <t>(3'-0"x7'-0") Solid core wood door w/ wood frame</t>
  </si>
  <si>
    <t>(2'-10"x7'-0") Solid core wood pocket door</t>
  </si>
  <si>
    <t>Paint single door incl. frame in its entirety</t>
  </si>
  <si>
    <t>(3'-0"x3'-0") Glazed access hatch</t>
  </si>
  <si>
    <t>A100</t>
  </si>
  <si>
    <t>1/A041</t>
  </si>
  <si>
    <t>(2'-8"x3'-0") Operable double pane window</t>
  </si>
  <si>
    <t>2/A041</t>
  </si>
  <si>
    <t>A400</t>
  </si>
  <si>
    <r>
      <t xml:space="preserve">Refrigerator (FR-1)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FISHER &amp; PAYKEL
</t>
    </r>
    <r>
      <rPr>
        <b/>
        <sz val="11"/>
        <color theme="1"/>
        <rFont val="Arial"/>
        <family val="2"/>
      </rPr>
      <t xml:space="preserve">- Model #: </t>
    </r>
    <r>
      <rPr>
        <sz val="11"/>
        <color theme="1"/>
        <rFont val="Arial"/>
        <family val="2"/>
      </rPr>
      <t>RS3084WRU1</t>
    </r>
  </si>
  <si>
    <r>
      <t xml:space="preserve">Washer/ dryer with stacking kit (WM/ DRY)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LG
</t>
    </r>
    <r>
      <rPr>
        <b/>
        <sz val="11"/>
        <color theme="1"/>
        <rFont val="Arial"/>
        <family val="2"/>
      </rPr>
      <t xml:space="preserve">- Model #: </t>
    </r>
    <r>
      <rPr>
        <sz val="11"/>
        <color theme="1"/>
        <rFont val="Arial"/>
        <family val="2"/>
      </rPr>
      <t>WM4000HWA/ DLEX4000W/ KSTK4</t>
    </r>
  </si>
  <si>
    <r>
      <t xml:space="preserve">Cooktop/range (CK-1)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BOSCH
</t>
    </r>
    <r>
      <rPr>
        <b/>
        <sz val="11"/>
        <color theme="1"/>
        <rFont val="Arial"/>
        <family val="2"/>
      </rPr>
      <t>- Model #:</t>
    </r>
    <r>
      <rPr>
        <sz val="11"/>
        <color theme="1"/>
        <rFont val="Arial"/>
        <family val="2"/>
      </rPr>
      <t xml:space="preserve"> NIT8060UC</t>
    </r>
  </si>
  <si>
    <r>
      <t xml:space="preserve">Oven (OV-1)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BOSCH
</t>
    </r>
    <r>
      <rPr>
        <b/>
        <sz val="11"/>
        <color theme="1"/>
        <rFont val="Arial"/>
        <family val="2"/>
      </rPr>
      <t>- Model #:</t>
    </r>
    <r>
      <rPr>
        <sz val="11"/>
        <color theme="1"/>
        <rFont val="Arial"/>
        <family val="2"/>
      </rPr>
      <t xml:space="preserve"> HBL8453UC</t>
    </r>
  </si>
  <si>
    <r>
      <t xml:space="preserve">Dishwasher (DW-1)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BOSCH
</t>
    </r>
    <r>
      <rPr>
        <b/>
        <sz val="11"/>
        <color theme="1"/>
        <rFont val="Arial"/>
        <family val="2"/>
      </rPr>
      <t>- Model #:</t>
    </r>
    <r>
      <rPr>
        <sz val="11"/>
        <color theme="1"/>
        <rFont val="Arial"/>
        <family val="2"/>
      </rPr>
      <t xml:space="preserve"> SHV78B73UC</t>
    </r>
  </si>
  <si>
    <t>(8'-8"x3'-0") Kitchen island</t>
  </si>
  <si>
    <t>(2'-2" W) Kitchen countertop</t>
  </si>
  <si>
    <t>(3' H, 2'-2" D) Base cabinet</t>
  </si>
  <si>
    <t>(8'-10" H, 2'-2" D) Millwork closet</t>
  </si>
  <si>
    <t>(5' H, 2'-4" D) Millwork closet</t>
  </si>
  <si>
    <t>(1'-3" W) Wall shelves</t>
  </si>
  <si>
    <r>
      <t xml:space="preserve">Waste and cleaning pullout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REV-A-SHELF
</t>
    </r>
    <r>
      <rPr>
        <b/>
        <sz val="11"/>
        <color theme="1"/>
        <rFont val="Arial"/>
        <family val="2"/>
      </rPr>
      <t xml:space="preserve">- Model #: </t>
    </r>
    <r>
      <rPr>
        <sz val="11"/>
        <color theme="1"/>
        <rFont val="Arial"/>
        <family val="2"/>
      </rPr>
      <t>5SBWCC-8S-1</t>
    </r>
  </si>
  <si>
    <t>TILING</t>
  </si>
  <si>
    <t>Finish Sche. @ A045</t>
  </si>
  <si>
    <t>(4" H) Tile base</t>
  </si>
  <si>
    <t>A401</t>
  </si>
  <si>
    <t>Tile nosing</t>
  </si>
  <si>
    <t>(4'-11"x2'-5") Shower enclosure</t>
  </si>
  <si>
    <t>(4'-1"x1'-10") Lavatory (LAV-1/MW-1)</t>
  </si>
  <si>
    <t>FFE Sche. @ A046</t>
  </si>
  <si>
    <t>(16-1/2"x27-1/2") Recessed medicine cabinet w/ mirror (MC-1)</t>
  </si>
  <si>
    <t>Toilet paper holder (TP-1)</t>
  </si>
  <si>
    <t>(24" L) Towel rod (TR-1)</t>
  </si>
  <si>
    <t>Robe hook (RH-1)</t>
  </si>
  <si>
    <t>(1'-6"x8'-3") Steel ladder</t>
  </si>
  <si>
    <t>Ceiling type detail @ A035</t>
  </si>
  <si>
    <t>A151-152</t>
  </si>
  <si>
    <t>(1 Layer, 1/2" Thk.) GWB Ceiling incl. suspension system</t>
  </si>
  <si>
    <t>R-19 Cavity insulation at ceiling</t>
  </si>
  <si>
    <t>Prime and paint ceiling</t>
  </si>
  <si>
    <t>Refinish existing wood deck</t>
  </si>
  <si>
    <t>Patch and refinish existing wood flooring as required</t>
  </si>
  <si>
    <t>Patch, repair, prime and paint walls</t>
  </si>
  <si>
    <t>Patch and repair wood base to match existing</t>
  </si>
  <si>
    <t>A101</t>
  </si>
  <si>
    <t>Paint existing stairs treads and risers</t>
  </si>
  <si>
    <t>Paint existing handrail</t>
  </si>
  <si>
    <t>(3'-0"x6") Stair tread to match existing</t>
  </si>
  <si>
    <r>
      <t xml:space="preserve">Hardware Set# H01
</t>
    </r>
    <r>
      <rPr>
        <sz val="11"/>
        <color theme="1"/>
        <rFont val="Arial"/>
        <family val="2"/>
      </rPr>
      <t>- 3.5" x 3.5" Square Corner Plain Bearing Mortise Hinge
- Lever Set
- Rose
- Stop</t>
    </r>
  </si>
  <si>
    <r>
      <t xml:space="preserve">Hardware Set# H02
</t>
    </r>
    <r>
      <rPr>
        <sz val="11"/>
        <color theme="1"/>
        <rFont val="Arial"/>
        <family val="2"/>
      </rPr>
      <t>- 3.5" x 3.5" Square Corner Plain Bearing Mortise Hinge
- Lever Set
- Rose</t>
    </r>
  </si>
  <si>
    <r>
      <t xml:space="preserve">Hardware Set# H03
</t>
    </r>
    <r>
      <rPr>
        <sz val="11"/>
        <color theme="1"/>
        <rFont val="Arial"/>
        <family val="2"/>
      </rPr>
      <t>- Concealed Hinge
- Handle
- Cover Plate</t>
    </r>
  </si>
  <si>
    <r>
      <t xml:space="preserve">Hardware Set# H04
</t>
    </r>
    <r>
      <rPr>
        <sz val="11"/>
        <color theme="1"/>
        <rFont val="Arial"/>
        <family val="2"/>
      </rPr>
      <t>- 4" Height Solid Brass Edge Pull for Sliding Doors
- Track
- Lock
- Flush pull - Inside
- Flush pull - Outside</t>
    </r>
  </si>
  <si>
    <r>
      <t xml:space="preserve">Hardware Set# H05
</t>
    </r>
    <r>
      <rPr>
        <sz val="11"/>
        <color theme="1"/>
        <rFont val="Arial"/>
        <family val="2"/>
      </rPr>
      <t>- 4" Height Solid Brass Edge Pull for Sliding Doors
- Track
- Flush pull - Inside
- Flush pull - Outside</t>
    </r>
  </si>
  <si>
    <t>Kitchen backsplash tile (T-1 ) w/ grout</t>
  </si>
  <si>
    <r>
      <t>Sanitary Vent Pipe With Fittings And Accessories (</t>
    </r>
    <r>
      <rPr>
        <b/>
        <u/>
        <sz val="11"/>
        <color rgb="FFFF0000"/>
        <rFont val="Arial"/>
        <family val="2"/>
      </rPr>
      <t>SCH 40 PVC Pipe With Fittings, Assumed</t>
    </r>
    <r>
      <rPr>
        <b/>
        <u/>
        <sz val="11"/>
        <color theme="1"/>
        <rFont val="Arial"/>
        <family val="2"/>
      </rPr>
      <t>)</t>
    </r>
  </si>
  <si>
    <t>BELOW GRADE</t>
  </si>
  <si>
    <t>1-1/2" Sanitary Pipe</t>
  </si>
  <si>
    <t>2" Sanitary Pipe</t>
  </si>
  <si>
    <t>4" Sanitary Pipe</t>
  </si>
  <si>
    <t>1-1/2" Vent Pipe</t>
  </si>
  <si>
    <t>2" Vent Pipe</t>
  </si>
  <si>
    <t>1-1/2" 45 Deg Elbow</t>
  </si>
  <si>
    <t>2" 45 Deg Elbow</t>
  </si>
  <si>
    <t>4" 45 Deg Elbow</t>
  </si>
  <si>
    <t>2" 90 Deg Elbow</t>
  </si>
  <si>
    <t>2" Vent Pipe 90 Deg Elbow</t>
  </si>
  <si>
    <t>1-1/2" Vent Pipe 90 Deg Elbow</t>
  </si>
  <si>
    <t>2" Wye</t>
  </si>
  <si>
    <t>4" Wye</t>
  </si>
  <si>
    <t>2" - 1-1/2" Wye</t>
  </si>
  <si>
    <t>4" - 2" Wye</t>
  </si>
  <si>
    <t>2" Vent Pipe Tee</t>
  </si>
  <si>
    <t>2" - 1-1/2" Reducer</t>
  </si>
  <si>
    <t>4" - 2" Reducer</t>
  </si>
  <si>
    <t>Proposed</t>
  </si>
  <si>
    <t>2" Trap Primer</t>
  </si>
  <si>
    <r>
      <t>Water Pipe With Fittings And Accessories (</t>
    </r>
    <r>
      <rPr>
        <b/>
        <u/>
        <sz val="11"/>
        <color rgb="FFFF0000"/>
        <rFont val="Arial"/>
        <family val="2"/>
      </rPr>
      <t>TYPE "L", HARD COPPER TUBING, ASSUMED</t>
    </r>
    <r>
      <rPr>
        <b/>
        <u/>
        <sz val="11"/>
        <color theme="1"/>
        <rFont val="Arial"/>
        <family val="2"/>
      </rPr>
      <t>)</t>
    </r>
  </si>
  <si>
    <t>1/2" Cold Water Pipe</t>
  </si>
  <si>
    <t>1" Cold Water Pipe</t>
  </si>
  <si>
    <r>
      <t>1/2" Hot Water Pipe (</t>
    </r>
    <r>
      <rPr>
        <sz val="11"/>
        <color rgb="FFFF0000"/>
        <rFont val="Arial"/>
        <family val="2"/>
      </rPr>
      <t>1/2" Fiberglass Insulation, Assumed</t>
    </r>
    <r>
      <rPr>
        <sz val="11"/>
        <color theme="1"/>
        <rFont val="Arial"/>
        <family val="2"/>
      </rPr>
      <t>)</t>
    </r>
  </si>
  <si>
    <t>1/2" 90 Deg Elbow</t>
  </si>
  <si>
    <t>1" 90 Deg Elbow</t>
  </si>
  <si>
    <t>1" Tee</t>
  </si>
  <si>
    <t>3/4" - 1/2" Tee</t>
  </si>
  <si>
    <t>1" - 1/2" Tee</t>
  </si>
  <si>
    <t>1" - 1/2" Reducer</t>
  </si>
  <si>
    <t>3/4" - 1/2" Reducer</t>
  </si>
  <si>
    <t>1/2" Shutoff Valve</t>
  </si>
  <si>
    <t>1" Shutoff Valve</t>
  </si>
  <si>
    <t>DEMOLITION</t>
  </si>
  <si>
    <t>Remove Existing Dryer Washer</t>
  </si>
  <si>
    <t>Remove Existing Plumbing Fixture With All Associated Pipes And Fittings And Accessories</t>
  </si>
  <si>
    <t>WC-1, Duravit #D2101800, Darling New Two Piece Toilet</t>
  </si>
  <si>
    <t>SH-1, Signature Hardware Lexia Thermostatic Shower System - Brushed Nickel 483785</t>
  </si>
  <si>
    <t>NOTES</t>
  </si>
  <si>
    <t>All Pipes And Fittings Are Being Assumed From The Main Pipe To The Connection To The Equipment</t>
  </si>
  <si>
    <t>Washer Dryer Drip Pan And Flood Stop Automatic Shutoff</t>
  </si>
  <si>
    <t>Rectangular Duct FITTINGS</t>
  </si>
  <si>
    <t>10"X6" 45 Deg Elbow</t>
  </si>
  <si>
    <t>10"X6" Sad 45 Deg Elbow</t>
  </si>
  <si>
    <t>12"X6" 45 Deg Elbow</t>
  </si>
  <si>
    <t>12"X12" 45 Deg Elbow</t>
  </si>
  <si>
    <t>14"X6" Sad 45 Deg Elbow</t>
  </si>
  <si>
    <t>16"X6" 45 Deg Elbow</t>
  </si>
  <si>
    <t>26"X8" 45 Deg Elbow With Seal All Joints Air Tight And Pivot Casting W/ Hemmed Edge</t>
  </si>
  <si>
    <t>10"X6" Sad 90 Deg Elbow With Turning Vanes With Locking Lugs And Frame Revited</t>
  </si>
  <si>
    <t>5"X30" Rad 90 Deg Elbow With Turning Vanes With Locking Lugs And Frame Revited</t>
  </si>
  <si>
    <t>18"X8" - 10"X6" 45 Deg Takeoff With Seal All Joints Air Tight And Pivot Casting W/ Hemmed Edge</t>
  </si>
  <si>
    <t>26"X10" - 12"X12" 45 Deg Takeoff With Seal All Joints Air Tight And Pivot Casting W/ Hemmed Edge</t>
  </si>
  <si>
    <t>18"X8" - 16"X6" 45 Deg Takeoff With Seal All Joints Air Tight And Pivot Casting W/ Hemmed Edge</t>
  </si>
  <si>
    <t>20"X10" - 12"X12" 45 Deg Takeoff With Seal All Joints Air Tight And Pivot Casting W/ Hemmed Edge</t>
  </si>
  <si>
    <t>26"X8" - 12"X6" 45 Deg Takeoff With Seal All Joints Air Tight And Pivot Casting W/ Hemmed Edge</t>
  </si>
  <si>
    <t>28"X6" - 14"X6" 45 Deg Takeoff With Seal All Joints Air Tight And Pivot Casting W/ Hemmed Edge</t>
  </si>
  <si>
    <t>28"X8" - 12"X6" 45 Deg Takeoff With Seal All Joints Air Tight And Pivot Casting W/ Hemmed Edge</t>
  </si>
  <si>
    <t>28"X8" - 26"X8" 45 Deg Takeoff With Seal All Joints Air Tight And Pivot Casting W/ Hemmed Edge</t>
  </si>
  <si>
    <t>12"X6" Sad Tap</t>
  </si>
  <si>
    <t>12"X12" Tap</t>
  </si>
  <si>
    <t>12"X12" Duct Cap</t>
  </si>
  <si>
    <t>12"X6" Duct Cap</t>
  </si>
  <si>
    <t>16"X6" - 12"X6" Reducer</t>
  </si>
  <si>
    <t>18"X8" - 10"X6" Reducer</t>
  </si>
  <si>
    <t>18"X8" - 12"X12" Reducer</t>
  </si>
  <si>
    <t>20"X10" - 12"X6" Reducer</t>
  </si>
  <si>
    <t>26"X10" - 20"X10" Reducer</t>
  </si>
  <si>
    <t>26"X10" Flexible Connection</t>
  </si>
  <si>
    <t>26"X8" - 18"X8" Reducer</t>
  </si>
  <si>
    <t>28"X6" - 10"X6" Reducer</t>
  </si>
  <si>
    <t>28"X8" - 12"X6" Reducer</t>
  </si>
  <si>
    <t>10"X6" Volume Damper (22 Ga.) With Locking Type Indicator Quadrant, Nailor Indust. Model 1870 And 3/8" Sq. Rod And Access Door</t>
  </si>
  <si>
    <t>12"X6" Volume Damper (22 Ga.) With Locking Type Indicator Quadrant, Nailor Indust. Model 1870 And 3/8" Sq. Rod And Access Door</t>
  </si>
  <si>
    <t>12"X12" Volume Damper (22 Ga.) With Locking Type Indicator Quadrant, Nailor Indust. Model 1870 And 3/8" Sq. Rod And Access Door</t>
  </si>
  <si>
    <t>16"X6" Volume Damper (22 Ga.) With Locking Type Indicator Quadrant, Nailor Indust. Model 1870 And 3/8" Sq. Rod And Access Door</t>
  </si>
  <si>
    <t>5"X30" Backdraft Damper (22 Ga.)</t>
  </si>
  <si>
    <t>5"X30" Flexible Connection</t>
  </si>
  <si>
    <t>28"X8" Flexible Connection</t>
  </si>
  <si>
    <r>
      <t xml:space="preserve">3/4" R-3.5 FIBERGLASS DUCT INSULATION </t>
    </r>
    <r>
      <rPr>
        <sz val="11"/>
        <color rgb="FFFF0000"/>
        <rFont val="Arial"/>
        <family val="2"/>
      </rPr>
      <t>(ASSUMED)</t>
    </r>
  </si>
  <si>
    <t>WEIGHT</t>
  </si>
  <si>
    <t xml:space="preserve"> 26 GA. GALVANIZED SHEET METAL DUCT </t>
  </si>
  <si>
    <t>AIR DEVICES &amp; FANS</t>
  </si>
  <si>
    <t>CD, 12"X12" Face Size, 12"X6" Neck Size, 250 Cfm, TITUS TMS, Ceiling Mounted
Shall Have Opposed Blade Damper At Collar</t>
  </si>
  <si>
    <t>CD, 12"X12" Face Size, 12"X12" Neck Size, 250 Cfm, TITUS TMS, Ceiling Mounted
Shall Have Opposed Blade Damper At Collar</t>
  </si>
  <si>
    <t>CR, 14"X14" Face Size, 5"X30" Neck Size, TITUS 350FL, Ceiling Mounted</t>
  </si>
  <si>
    <t xml:space="preserve"> MISCELLENOUS</t>
  </si>
  <si>
    <t>S, Remote Temperature Sensor, Mitsubishi #Pac-Se41Ts-E Interlock W/ Existing 1St Floor Ahu</t>
  </si>
  <si>
    <t>Thermostat</t>
  </si>
  <si>
    <t>#18/4C Control Wire With Conduit</t>
  </si>
  <si>
    <t>(2) Threaded Hanger Rods And 50x50x6 Galvanized Angle Iron Strap With Sheet Metal Screws</t>
  </si>
  <si>
    <t>Galvanized Angle Iron Fastened With Sheet Metal 2 Screws 32x32x6 and Adequate Blocking</t>
  </si>
  <si>
    <t>Refrigerant Piping Is Considered As Existing As The Equipment Is Existing Too</t>
  </si>
  <si>
    <t>Remove Any Existing Ductwork In The Field</t>
  </si>
  <si>
    <t>MISCELLENOUS</t>
  </si>
  <si>
    <t>Saw Cutting And Patching</t>
  </si>
  <si>
    <t>3/4"C EMT</t>
  </si>
  <si>
    <t>#12 THHN</t>
  </si>
  <si>
    <t>3/4"C PVC</t>
  </si>
  <si>
    <t>#12 THWN</t>
  </si>
  <si>
    <r>
      <t xml:space="preserve">Devices - </t>
    </r>
    <r>
      <rPr>
        <b/>
        <u/>
        <sz val="11"/>
        <color rgb="FFFF0000"/>
        <rFont val="Arial"/>
        <family val="2"/>
      </rPr>
      <t>ALL RECEPTACLES ARE TAMPER RESISTANT</t>
    </r>
  </si>
  <si>
    <t>Duplex Receptacle Wall Mounted</t>
  </si>
  <si>
    <t>Duplex Receptacle Cabinet Mounted</t>
  </si>
  <si>
    <t>Gfci Duplex Receptacle</t>
  </si>
  <si>
    <t>Single Pole Toggle Switch, Switch GFCI Outlet, LUTRON #CLARO
Shall Be LUTRON DIVA Type Dimming Switches</t>
  </si>
  <si>
    <t>Simplex Receptacle</t>
  </si>
  <si>
    <t>OT3, Floor Mounted Duplex Receptacle/Outlet, Switch GFCI Outlet, LUTRON #CLARO
Shall Have Screwless Designer Style Wall Plates</t>
  </si>
  <si>
    <t>Single Pole Toggle Switch, LUTRON # CLARO, DIVA TYPE DIMMING</t>
  </si>
  <si>
    <t>3 Way Toggle Switch, LUTRON # CLARO, DIVA TYPE DIMMING</t>
  </si>
  <si>
    <t>LIGHTING FIXTURES</t>
  </si>
  <si>
    <t>A1, Recessed Downlight, NORA LIGHTING, Trim: LOLITE 4INBRD DEEP CONE REGRESS DOWNLIGHT RIM, Housing: 41N REMODEL IC AIR TIGHT, NIO4RNDC30XMPW/10, NHRIOIC-4, 3000K, 14 Watts, LIGHTOLOGY, Air Tight IC Rated</t>
  </si>
  <si>
    <t>A2, Recessed Downlight, WAC LIGHTING #LOTOS FIRE RATED, R4ERDR, 3000K, 14 Watts, LUMENS, Air Tight IC Rated</t>
  </si>
  <si>
    <t>B1, Wall Mounted Light, REJUVENATION #CYPRESS SMALL SCONCE, 7614251, PHILIPS #DIMMABLE 8.8W 2700K A19 LED BULB, 8.8A19/PER/927/P/E26/DIM, 2700K, 8.8 Watts</t>
  </si>
  <si>
    <t>B2, Wall Mounted Light, RBQ #RIPPLE LED FLUSHMOUNT, RP-FM-S20-AA01-30-10_TRIAC-120V-IP65, 3000K, 10 Watts</t>
  </si>
  <si>
    <t>C1, Surface Mounted Ceiling Light, ABRA #EUPHORIA LED FLUSHMOUNT, 3000K, 20 Watts</t>
  </si>
  <si>
    <t>D1, Pendant Light, EX'G</t>
  </si>
  <si>
    <t>D2, Pendant Light, GUBI #SEMI PENDANT LAMP, 739115, 3000K, 6 Watts</t>
  </si>
  <si>
    <t>D3, Pendant Light, HERMAN MILLER #NELSON BALL BUBBLE PENDANT, GNB673325, 3000K, 14 Watts</t>
  </si>
  <si>
    <t>T1A, Track Lighting, WAC LIGHTING #96" Track For H-Track System # HT8-WT And T1B: Track Heads (12), Charge 8010 Track Luminaire #H-8010-30-WT-12, 3000K, 11WATTS OF HEAD</t>
  </si>
  <si>
    <t>PULL STRING</t>
  </si>
  <si>
    <t>SD, Smoke Detector</t>
  </si>
  <si>
    <t>Backboxes</t>
  </si>
  <si>
    <t>Panel Is Considered As Existing Panel And Breakers</t>
  </si>
  <si>
    <t>Misc. Sealant</t>
  </si>
  <si>
    <t>Misc. Firestopping</t>
  </si>
  <si>
    <t>Misc. Blocking</t>
  </si>
  <si>
    <t xml:space="preserve"> F-2, Signature Hardware Lexia Wall Mount Brushed Nickel 483896</t>
  </si>
  <si>
    <t>M100-200</t>
  </si>
  <si>
    <t>A153-154</t>
  </si>
  <si>
    <t>1-1/2" Trap Primer</t>
  </si>
  <si>
    <t>`</t>
  </si>
  <si>
    <t>LBS</t>
  </si>
  <si>
    <t/>
  </si>
  <si>
    <t>Remove existing kitchen equipment's in its entirety = 1 Kitchen</t>
  </si>
  <si>
    <t>Bathroom floor tile (T-2) as:
- Floor tile 
- Laticrete pro grout
- Reinforced mortar bed
- Continuous waterproof membrane (laticrete 9235)
- Mortar subbase</t>
  </si>
  <si>
    <t>Bathroom wall tile (T-3, T-4) as:
- Laticrete pro grout
- Laticrete 254 thin set mortar
- Continuous waterproof membrane (laticrete 9235)</t>
  </si>
  <si>
    <t>(4" H) Square profile painted solid wood baseboard</t>
  </si>
  <si>
    <t>Appliances Schedule A046</t>
  </si>
  <si>
    <r>
      <t xml:space="preserve">Wire under sink pullout waste container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REV-A-SHELF
</t>
    </r>
    <r>
      <rPr>
        <b/>
        <sz val="11"/>
        <color theme="1"/>
        <rFont val="Arial"/>
        <family val="2"/>
      </rPr>
      <t xml:space="preserve">- Model #: </t>
    </r>
    <r>
      <rPr>
        <sz val="11"/>
        <color theme="1"/>
        <rFont val="Arial"/>
        <family val="2"/>
      </rPr>
      <t>5SBWC-815S-1</t>
    </r>
  </si>
  <si>
    <r>
      <t xml:space="preserve">Vent hood (VH-1)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BOSCH
</t>
    </r>
    <r>
      <rPr>
        <b/>
        <sz val="11"/>
        <color theme="1"/>
        <rFont val="Arial"/>
        <family val="2"/>
      </rPr>
      <t>- Model #:</t>
    </r>
    <r>
      <rPr>
        <sz val="11"/>
        <color theme="1"/>
        <rFont val="Arial"/>
        <family val="2"/>
      </rPr>
      <t xml:space="preserve"> HUI80553UC</t>
    </r>
  </si>
  <si>
    <t>S-1, Blanco Precis 27 Silgranit Undermount Sink - White 522429
w/ F-1, Handsgrohe Talis High arc Kitchen Faucet - Steel Optic 72857801</t>
  </si>
  <si>
    <t>12"X12" 90 Deg Elbow With Turning Vanes With Locking Lugs And Frame Revited</t>
  </si>
  <si>
    <t>1" Acoustical Insulation With 24 Ga. Nosing By Rivets, Screws Or Welds, R-3.5</t>
  </si>
  <si>
    <t>TG, 12"X6" Face Size, 180 Cfm, TITUS 301FL, Sidewall Mounted
Shall Have Opposed Blade Damper At Collar</t>
  </si>
  <si>
    <t>TG, 12"X8" Face Size, 200 Cfm, TITUS 301FL, Sidewall Mounted
Shall Have Opposed Blade Damper At Collar</t>
  </si>
  <si>
    <t>TG, 12"X8" Face Size, 250 Cfm, TITUS 301FL, Sidewall Mounted
Shall Have Opposed Blade Damper At Collar</t>
  </si>
  <si>
    <t>TG, 20"X10" Face Size, TITUS 301FL, Sidewall Mounted
Shall Have Opposed Blade Damper At Collar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</si>
</sst>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[$$-409]* #,##0.00_ ;_-[$$-409]* \-#,##0.00\ ;_-[$$-409]* &quot;-&quot;??_ ;_-@_ "/>
    <numFmt numFmtId="167" formatCode="_-* #,##0.00_-;\-* #,##0.00_-;_-* &quot;-&quot;_-;_-@_-"/>
    <numFmt numFmtId="168" formatCode="_-[$$-409]* #,##0_ ;_-[$$-409]* \-#,##0\ ;_-[$$-409]* &quot;-&quot;??_ ;_-@_ "/>
    <numFmt numFmtId="169" formatCode="_(&quot;$&quot;* #,##0_);_(&quot;$&quot;* \(#,##0\);_(&quot;$&quot;* &quot;-&quot;??_);_(@_)"/>
    <numFmt numFmtId="170" formatCode="00\ 00\ 00"/>
    <numFmt numFmtId="171" formatCode="&quot;$&quot;#,##0.00"/>
    <numFmt numFmtId="172" formatCode="[$-F800]dddd\,\ mmmm\ dd\,\ yyyy"/>
    <numFmt numFmtId="173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u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7" fillId="5" borderId="1" applyBorder="0">
      <alignment horizontal="center" vertical="center" wrapText="1"/>
    </xf>
    <xf numFmtId="166" fontId="5" fillId="6" borderId="45" applyBorder="0">
      <alignment horizontal="center" vertical="center"/>
    </xf>
  </cellStyleXfs>
  <cellXfs count="241">
    <xf numFmtId="0" fontId="0" fillId="0" borderId="0" xfId="0"/>
    <xf numFmtId="166" fontId="5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9" fontId="3" fillId="0" borderId="28" xfId="1" applyNumberFormat="1" applyFont="1" applyBorder="1" applyAlignment="1">
      <alignment horizontal="center" vertical="center"/>
    </xf>
    <xf numFmtId="169" fontId="3" fillId="0" borderId="28" xfId="1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0" fillId="0" borderId="9" xfId="4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4" fontId="0" fillId="0" borderId="26" xfId="4" applyFont="1" applyBorder="1" applyAlignment="1">
      <alignment vertical="center"/>
    </xf>
    <xf numFmtId="9" fontId="0" fillId="0" borderId="13" xfId="2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4" fillId="0" borderId="3" xfId="2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43" fontId="0" fillId="0" borderId="9" xfId="4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66" fontId="5" fillId="0" borderId="29" xfId="0" applyNumberFormat="1" applyFont="1" applyBorder="1" applyAlignment="1">
      <alignment vertical="center"/>
    </xf>
    <xf numFmtId="169" fontId="3" fillId="4" borderId="40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166" fontId="0" fillId="3" borderId="9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0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7" fontId="9" fillId="0" borderId="39" xfId="4" applyNumberFormat="1" applyFont="1" applyFill="1" applyBorder="1" applyAlignment="1">
      <alignment horizontal="center" vertical="center" wrapText="1"/>
    </xf>
    <xf numFmtId="166" fontId="9" fillId="0" borderId="39" xfId="0" applyNumberFormat="1" applyFont="1" applyBorder="1" applyAlignment="1">
      <alignment horizontal="center" vertical="center" wrapText="1"/>
    </xf>
    <xf numFmtId="168" fontId="9" fillId="0" borderId="39" xfId="4" applyNumberFormat="1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18" xfId="0" applyFont="1" applyFill="1" applyBorder="1" applyAlignment="1">
      <alignment vertical="center"/>
    </xf>
    <xf numFmtId="166" fontId="14" fillId="3" borderId="3" xfId="1" applyNumberFormat="1" applyFont="1" applyFill="1" applyBorder="1" applyAlignment="1">
      <alignment horizontal="center" vertical="center"/>
    </xf>
    <xf numFmtId="167" fontId="10" fillId="2" borderId="0" xfId="4" applyNumberFormat="1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center" vertical="center"/>
    </xf>
    <xf numFmtId="168" fontId="10" fillId="2" borderId="0" xfId="4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70" fontId="15" fillId="0" borderId="12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9" fontId="16" fillId="2" borderId="8" xfId="2" applyFont="1" applyFill="1" applyBorder="1" applyAlignment="1">
      <alignment horizontal="center" vertical="center"/>
    </xf>
    <xf numFmtId="1" fontId="16" fillId="2" borderId="8" xfId="3" applyNumberFormat="1" applyFont="1" applyFill="1" applyBorder="1" applyAlignment="1">
      <alignment horizontal="center" vertical="center"/>
    </xf>
    <xf numFmtId="171" fontId="16" fillId="2" borderId="8" xfId="1" applyNumberFormat="1" applyFont="1" applyFill="1" applyBorder="1" applyAlignment="1">
      <alignment horizontal="center" vertical="center"/>
    </xf>
    <xf numFmtId="171" fontId="10" fillId="2" borderId="8" xfId="1" applyNumberFormat="1" applyFont="1" applyFill="1" applyBorder="1" applyAlignment="1">
      <alignment horizontal="center" vertical="center"/>
    </xf>
    <xf numFmtId="171" fontId="10" fillId="2" borderId="7" xfId="1" applyNumberFormat="1" applyFont="1" applyFill="1" applyBorder="1" applyAlignment="1">
      <alignment horizontal="center" vertical="center"/>
    </xf>
    <xf numFmtId="2" fontId="10" fillId="2" borderId="8" xfId="4" applyNumberFormat="1" applyFont="1" applyFill="1" applyBorder="1" applyAlignment="1">
      <alignment horizontal="center" vertical="center"/>
    </xf>
    <xf numFmtId="171" fontId="10" fillId="2" borderId="11" xfId="1" applyNumberFormat="1" applyFont="1" applyFill="1" applyBorder="1" applyAlignment="1">
      <alignment horizontal="center" vertical="center"/>
    </xf>
    <xf numFmtId="171" fontId="12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/>
    </xf>
    <xf numFmtId="170" fontId="17" fillId="0" borderId="2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1" fontId="18" fillId="0" borderId="8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0" fontId="9" fillId="2" borderId="2" xfId="3" applyFont="1" applyFill="1" applyBorder="1" applyAlignment="1">
      <alignment vertical="center"/>
    </xf>
    <xf numFmtId="166" fontId="14" fillId="2" borderId="2" xfId="1" applyNumberFormat="1" applyFont="1" applyFill="1" applyBorder="1" applyAlignment="1">
      <alignment horizontal="center" vertical="center"/>
    </xf>
    <xf numFmtId="166" fontId="14" fillId="2" borderId="3" xfId="4" applyNumberFormat="1" applyFont="1" applyFill="1" applyBorder="1" applyAlignment="1">
      <alignment horizontal="center" vertical="center"/>
    </xf>
    <xf numFmtId="2" fontId="14" fillId="2" borderId="3" xfId="4" applyNumberFormat="1" applyFont="1" applyFill="1" applyBorder="1" applyAlignment="1">
      <alignment horizontal="center" vertical="center"/>
    </xf>
    <xf numFmtId="168" fontId="14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70" fontId="10" fillId="0" borderId="12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right" vertical="center" wrapText="1"/>
    </xf>
    <xf numFmtId="165" fontId="12" fillId="0" borderId="9" xfId="0" applyNumberFormat="1" applyFont="1" applyBorder="1" applyAlignment="1">
      <alignment vertical="center"/>
    </xf>
    <xf numFmtId="170" fontId="14" fillId="0" borderId="12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0" fontId="14" fillId="0" borderId="25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170" fontId="10" fillId="0" borderId="25" xfId="0" applyNumberFormat="1" applyFont="1" applyBorder="1" applyAlignment="1">
      <alignment horizontal="center" vertical="center"/>
    </xf>
    <xf numFmtId="168" fontId="9" fillId="0" borderId="3" xfId="1" applyNumberFormat="1" applyFont="1" applyFill="1" applyBorder="1" applyAlignment="1">
      <alignment horizontal="right" vertical="center"/>
    </xf>
    <xf numFmtId="2" fontId="9" fillId="0" borderId="3" xfId="1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21" fillId="2" borderId="3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170" fontId="10" fillId="2" borderId="0" xfId="0" applyNumberFormat="1" applyFont="1" applyFill="1" applyAlignment="1">
      <alignment horizontal="center" vertical="center"/>
    </xf>
    <xf numFmtId="0" fontId="22" fillId="2" borderId="34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167" fontId="10" fillId="2" borderId="14" xfId="4" applyNumberFormat="1" applyFont="1" applyFill="1" applyBorder="1" applyAlignment="1">
      <alignment horizontal="center" vertical="center"/>
    </xf>
    <xf numFmtId="167" fontId="10" fillId="2" borderId="15" xfId="4" applyNumberFormat="1" applyFont="1" applyFill="1" applyBorder="1" applyAlignment="1">
      <alignment horizontal="center" vertical="center"/>
    </xf>
    <xf numFmtId="170" fontId="10" fillId="2" borderId="15" xfId="4" applyNumberFormat="1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7" fontId="10" fillId="0" borderId="0" xfId="4" applyNumberFormat="1" applyFont="1" applyAlignment="1">
      <alignment horizontal="center" vertical="center"/>
    </xf>
    <xf numFmtId="168" fontId="10" fillId="0" borderId="0" xfId="4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9" fontId="0" fillId="0" borderId="8" xfId="2" applyFont="1" applyFill="1" applyBorder="1" applyAlignment="1">
      <alignment vertical="center"/>
    </xf>
    <xf numFmtId="169" fontId="3" fillId="0" borderId="29" xfId="1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170" fontId="15" fillId="0" borderId="12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vertical="center" wrapText="1"/>
    </xf>
    <xf numFmtId="173" fontId="10" fillId="0" borderId="0" xfId="0" applyNumberFormat="1" applyFont="1" applyAlignment="1">
      <alignment vertical="center"/>
    </xf>
    <xf numFmtId="166" fontId="17" fillId="6" borderId="0" xfId="6" applyFont="1" applyBorder="1">
      <alignment horizontal="center" vertical="center"/>
    </xf>
    <xf numFmtId="166" fontId="17" fillId="6" borderId="8" xfId="6" applyFont="1" applyBorder="1">
      <alignment horizontal="center" vertical="center"/>
    </xf>
    <xf numFmtId="166" fontId="17" fillId="6" borderId="2" xfId="6" applyFont="1" applyBorder="1">
      <alignment horizontal="center" vertical="center"/>
    </xf>
    <xf numFmtId="0" fontId="29" fillId="0" borderId="3" xfId="0" applyFont="1" applyBorder="1" applyAlignment="1">
      <alignment vertical="center" wrapText="1"/>
    </xf>
    <xf numFmtId="0" fontId="30" fillId="5" borderId="43" xfId="5" applyFont="1" applyBorder="1">
      <alignment horizontal="center" vertical="center" wrapText="1"/>
    </xf>
    <xf numFmtId="0" fontId="30" fillId="5" borderId="38" xfId="5" applyFont="1" applyBorder="1">
      <alignment horizontal="center" vertical="center" wrapText="1"/>
    </xf>
    <xf numFmtId="0" fontId="30" fillId="5" borderId="0" xfId="5" applyFont="1" applyBorder="1">
      <alignment horizontal="center" vertical="center" wrapText="1"/>
    </xf>
    <xf numFmtId="0" fontId="30" fillId="5" borderId="37" xfId="5" applyFont="1" applyBorder="1">
      <alignment horizontal="center" vertical="center" wrapText="1"/>
    </xf>
    <xf numFmtId="0" fontId="30" fillId="5" borderId="44" xfId="5" applyFont="1" applyBorder="1">
      <alignment horizontal="center" vertical="center" wrapText="1"/>
    </xf>
    <xf numFmtId="166" fontId="17" fillId="6" borderId="3" xfId="6" applyFont="1" applyBorder="1">
      <alignment horizontal="center" vertical="center"/>
    </xf>
    <xf numFmtId="166" fontId="4" fillId="6" borderId="16" xfId="6" quotePrefix="1" applyFont="1" applyBorder="1">
      <alignment horizontal="center" vertical="center"/>
    </xf>
    <xf numFmtId="166" fontId="4" fillId="6" borderId="8" xfId="6" applyFont="1" applyBorder="1">
      <alignment horizontal="center" vertical="center"/>
    </xf>
    <xf numFmtId="166" fontId="4" fillId="6" borderId="9" xfId="6" applyFont="1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7" fillId="5" borderId="1" xfId="5" applyBorder="1">
      <alignment horizontal="center" vertical="center" wrapText="1"/>
    </xf>
    <xf numFmtId="0" fontId="27" fillId="5" borderId="4" xfId="5" applyBorder="1">
      <alignment horizontal="center" vertical="center" wrapText="1"/>
    </xf>
    <xf numFmtId="0" fontId="27" fillId="5" borderId="2" xfId="5" applyBorder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0" fontId="15" fillId="0" borderId="10" xfId="0" applyNumberFormat="1" applyFont="1" applyBorder="1" applyAlignment="1">
      <alignment horizontal="center" vertical="center" wrapText="1"/>
    </xf>
    <xf numFmtId="170" fontId="15" fillId="0" borderId="13" xfId="0" applyNumberFormat="1" applyFont="1" applyBorder="1" applyAlignment="1">
      <alignment horizontal="center" vertical="center" wrapText="1"/>
    </xf>
    <xf numFmtId="170" fontId="15" fillId="0" borderId="7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7" fontId="24" fillId="2" borderId="15" xfId="4" applyNumberFormat="1" applyFont="1" applyFill="1" applyBorder="1" applyAlignment="1">
      <alignment horizontal="left" vertical="center"/>
    </xf>
    <xf numFmtId="167" fontId="24" fillId="2" borderId="22" xfId="4" applyNumberFormat="1" applyFont="1" applyFill="1" applyBorder="1" applyAlignment="1">
      <alignment horizontal="left" vertical="center"/>
    </xf>
    <xf numFmtId="166" fontId="17" fillId="6" borderId="27" xfId="6" applyFont="1" applyBorder="1">
      <alignment horizontal="center" vertical="center"/>
    </xf>
    <xf numFmtId="166" fontId="17" fillId="6" borderId="29" xfId="6" applyFont="1" applyBorder="1">
      <alignment horizontal="center" vertical="center"/>
    </xf>
    <xf numFmtId="168" fontId="14" fillId="2" borderId="1" xfId="1" applyNumberFormat="1" applyFont="1" applyFill="1" applyBorder="1" applyAlignment="1">
      <alignment horizontal="center" vertical="center"/>
    </xf>
    <xf numFmtId="168" fontId="14" fillId="2" borderId="2" xfId="1" applyNumberFormat="1" applyFont="1" applyFill="1" applyBorder="1" applyAlignment="1">
      <alignment horizontal="center" vertical="center"/>
    </xf>
    <xf numFmtId="168" fontId="9" fillId="0" borderId="1" xfId="1" applyNumberFormat="1" applyFont="1" applyFill="1" applyBorder="1" applyAlignment="1">
      <alignment horizontal="right" vertical="center"/>
    </xf>
    <xf numFmtId="168" fontId="9" fillId="0" borderId="4" xfId="1" applyNumberFormat="1" applyFont="1" applyFill="1" applyBorder="1" applyAlignment="1">
      <alignment horizontal="right" vertical="center"/>
    </xf>
    <xf numFmtId="168" fontId="9" fillId="0" borderId="2" xfId="1" applyNumberFormat="1" applyFont="1" applyFill="1" applyBorder="1" applyAlignment="1">
      <alignment horizontal="right" vertical="center"/>
    </xf>
    <xf numFmtId="166" fontId="17" fillId="6" borderId="1" xfId="6" applyFont="1" applyBorder="1">
      <alignment horizontal="center" vertical="center"/>
    </xf>
    <xf numFmtId="166" fontId="17" fillId="6" borderId="2" xfId="6" applyFont="1" applyBorder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172" fontId="29" fillId="0" borderId="4" xfId="0" applyNumberFormat="1" applyFont="1" applyBorder="1" applyAlignment="1">
      <alignment horizontal="center" vertical="center" wrapText="1"/>
    </xf>
    <xf numFmtId="172" fontId="29" fillId="0" borderId="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166" fontId="31" fillId="6" borderId="1" xfId="6" applyFont="1" applyBorder="1">
      <alignment horizontal="center" vertical="center"/>
    </xf>
    <xf numFmtId="166" fontId="31" fillId="6" borderId="4" xfId="6" applyFont="1" applyBorder="1">
      <alignment horizontal="center" vertical="center"/>
    </xf>
    <xf numFmtId="166" fontId="31" fillId="6" borderId="2" xfId="6" applyFont="1" applyBorder="1">
      <alignment horizontal="center" vertical="center"/>
    </xf>
    <xf numFmtId="0" fontId="11" fillId="5" borderId="33" xfId="5" applyFont="1" applyBorder="1">
      <alignment horizontal="center" vertical="center" wrapText="1"/>
    </xf>
    <xf numFmtId="0" fontId="11" fillId="5" borderId="30" xfId="5" applyFont="1" applyBorder="1">
      <alignment horizontal="center" vertical="center" wrapText="1"/>
    </xf>
    <xf numFmtId="0" fontId="11" fillId="5" borderId="1" xfId="5" applyFont="1" applyBorder="1">
      <alignment horizontal="center" vertical="center" wrapText="1"/>
    </xf>
    <xf numFmtId="0" fontId="11" fillId="5" borderId="4" xfId="5" applyFont="1" applyBorder="1">
      <alignment horizontal="center" vertical="center" wrapText="1"/>
    </xf>
    <xf numFmtId="0" fontId="11" fillId="5" borderId="2" xfId="5" applyFont="1" applyBorder="1">
      <alignment horizontal="center" vertical="center" wrapText="1"/>
    </xf>
    <xf numFmtId="0" fontId="30" fillId="5" borderId="1" xfId="5" applyFont="1" applyBorder="1">
      <alignment horizontal="center" vertical="center" wrapText="1"/>
    </xf>
    <xf numFmtId="0" fontId="30" fillId="5" borderId="2" xfId="5" applyFont="1" applyBorder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</cellXfs>
  <cellStyles count="7">
    <cellStyle name="Comma [0]" xfId="4" builtinId="6"/>
    <cellStyle name="Currency" xfId="1" builtinId="4"/>
    <cellStyle name="Normal" xfId="0" builtinId="0"/>
    <cellStyle name="Normal 2" xfId="3" xr:uid="{00000000-0005-0000-0000-000003000000}"/>
    <cellStyle name="Percent" xfId="2" builtinId="5"/>
    <cellStyle name="Red Black" xfId="5" xr:uid="{2B9E621B-4837-4257-88E0-5DCBCE051AB0}"/>
    <cellStyle name="White Grey" xfId="6" xr:uid="{811B5882-898C-411F-88D9-AA548FAB61E1}"/>
  </cellStyles>
  <dxfs count="0"/>
  <tableStyles count="0" defaultTableStyle="TableStyleMedium2" defaultPivotStyle="PivotStyleLight16"/>
  <colors>
    <mruColors>
      <color rgb="FF09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36"/>
  <sheetViews>
    <sheetView view="pageBreakPreview" zoomScale="85" zoomScaleNormal="85" zoomScaleSheetLayoutView="85" workbookViewId="0">
      <selection activeCell="B19" sqref="B19:L19"/>
    </sheetView>
  </sheetViews>
  <sheetFormatPr defaultColWidth="9.109375" defaultRowHeight="14.4" x14ac:dyDescent="0.3"/>
  <cols>
    <col min="1" max="1" width="9.6640625" style="29" customWidth="1"/>
    <col min="2" max="2" width="15.33203125" style="31" customWidth="1"/>
    <col min="3" max="3" width="52.5546875" style="29" customWidth="1"/>
    <col min="4" max="4" width="15.88671875" style="29" customWidth="1"/>
    <col min="5" max="5" width="15.6640625" style="32" bestFit="1" customWidth="1"/>
    <col min="6" max="6" width="14.6640625" style="32" customWidth="1"/>
    <col min="7" max="7" width="14.33203125" style="32" customWidth="1"/>
    <col min="8" max="8" width="16.88671875" style="32" bestFit="1" customWidth="1"/>
    <col min="9" max="9" width="14.33203125" style="32" customWidth="1"/>
    <col min="10" max="10" width="15.44140625" style="32" bestFit="1" customWidth="1"/>
    <col min="11" max="11" width="15.44140625" style="32" customWidth="1"/>
    <col min="12" max="12" width="19.109375" style="32" customWidth="1"/>
    <col min="13" max="13" width="10.6640625" style="29" customWidth="1"/>
    <col min="14" max="16384" width="9.109375" style="29"/>
  </cols>
  <sheetData>
    <row r="1" spans="1:15" ht="37.5" customHeight="1" thickBot="1" x14ac:dyDescent="0.35">
      <c r="A1" s="182" t="str">
        <f>Estimate!E1</f>
        <v>PRIVATE RESIDENCE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4"/>
      <c r="M1" s="28"/>
    </row>
    <row r="2" spans="1:15" ht="15" thickBot="1" x14ac:dyDescent="0.35">
      <c r="A2" s="30"/>
      <c r="M2" s="28"/>
    </row>
    <row r="3" spans="1:15" ht="30" customHeight="1" thickBot="1" x14ac:dyDescent="0.35">
      <c r="A3" s="30"/>
      <c r="B3" s="178" t="s">
        <v>25</v>
      </c>
      <c r="C3" s="179"/>
      <c r="D3" s="179"/>
      <c r="E3" s="179"/>
      <c r="F3" s="179"/>
      <c r="G3" s="179"/>
      <c r="H3" s="179"/>
      <c r="I3" s="179"/>
      <c r="J3" s="179"/>
      <c r="K3" s="179"/>
      <c r="L3" s="180"/>
      <c r="M3" s="28"/>
    </row>
    <row r="4" spans="1:15" ht="29.4" thickBot="1" x14ac:dyDescent="0.35">
      <c r="A4" s="30"/>
      <c r="B4" s="2" t="s">
        <v>116</v>
      </c>
      <c r="C4" s="3" t="s">
        <v>1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27" t="s">
        <v>137</v>
      </c>
      <c r="L4" s="145" t="s">
        <v>23</v>
      </c>
    </row>
    <row r="5" spans="1:15" ht="25.2" customHeight="1" x14ac:dyDescent="0.3">
      <c r="A5" s="30"/>
      <c r="B5" s="33" t="s">
        <v>124</v>
      </c>
      <c r="C5" s="34" t="s">
        <v>126</v>
      </c>
      <c r="D5" s="35">
        <f>Estimate!K$21</f>
        <v>0</v>
      </c>
      <c r="E5" s="35">
        <f>Estimate!N$21</f>
        <v>19300</v>
      </c>
      <c r="F5" s="36">
        <f t="shared" ref="F5:F17" si="0">D5*$D$24</f>
        <v>0</v>
      </c>
      <c r="G5" s="36">
        <f t="shared" ref="G5:G17" si="1">E5*$D$27</f>
        <v>0</v>
      </c>
      <c r="H5" s="36">
        <f t="shared" ref="H5:H8" si="2">D5+E5+F5+G5</f>
        <v>19300</v>
      </c>
      <c r="I5" s="36">
        <f t="shared" ref="I5:I17" si="3">H5*$D$29</f>
        <v>1930</v>
      </c>
      <c r="J5" s="36">
        <f t="shared" ref="J5:J17" si="4">H5*$D$30</f>
        <v>1930</v>
      </c>
      <c r="K5" s="37">
        <f>SUM(E$32:E$33)</f>
        <v>0</v>
      </c>
      <c r="L5" s="146">
        <f>H5+I5+J5+K5</f>
        <v>23160</v>
      </c>
      <c r="M5" s="32"/>
      <c r="N5" s="32"/>
      <c r="O5" s="32"/>
    </row>
    <row r="6" spans="1:15" ht="25.2" customHeight="1" x14ac:dyDescent="0.3">
      <c r="A6" s="30"/>
      <c r="B6" s="33" t="s">
        <v>55</v>
      </c>
      <c r="C6" s="34" t="s">
        <v>136</v>
      </c>
      <c r="D6" s="35">
        <f>Estimate!K$38</f>
        <v>0</v>
      </c>
      <c r="E6" s="35">
        <f>Estimate!$N38</f>
        <v>13037.69652777778</v>
      </c>
      <c r="F6" s="36">
        <f t="shared" si="0"/>
        <v>0</v>
      </c>
      <c r="G6" s="36">
        <f t="shared" si="1"/>
        <v>0</v>
      </c>
      <c r="H6" s="36">
        <f t="shared" si="2"/>
        <v>13037.69652777778</v>
      </c>
      <c r="I6" s="36">
        <f t="shared" si="3"/>
        <v>1303.769652777778</v>
      </c>
      <c r="J6" s="36">
        <f t="shared" si="4"/>
        <v>1303.769652777778</v>
      </c>
      <c r="K6" s="37">
        <v>0</v>
      </c>
      <c r="L6" s="146">
        <f t="shared" ref="L6:L17" si="5">H6+I6+J6+K6</f>
        <v>15645.235833333336</v>
      </c>
      <c r="M6" s="32"/>
      <c r="N6" s="32"/>
      <c r="O6" s="32"/>
    </row>
    <row r="7" spans="1:15" ht="25.2" customHeight="1" x14ac:dyDescent="0.3">
      <c r="A7" s="30"/>
      <c r="B7" s="33" t="s">
        <v>114</v>
      </c>
      <c r="C7" s="34" t="s">
        <v>112</v>
      </c>
      <c r="D7" s="35">
        <f>Estimate!K$43</f>
        <v>807.5</v>
      </c>
      <c r="E7" s="35">
        <f>Estimate!$N43</f>
        <v>193.76041666666669</v>
      </c>
      <c r="F7" s="36">
        <f t="shared" si="0"/>
        <v>0</v>
      </c>
      <c r="G7" s="36">
        <f t="shared" si="1"/>
        <v>0</v>
      </c>
      <c r="H7" s="36">
        <f t="shared" si="2"/>
        <v>1001.2604166666667</v>
      </c>
      <c r="I7" s="36">
        <f t="shared" si="3"/>
        <v>100.12604166666668</v>
      </c>
      <c r="J7" s="36">
        <f t="shared" si="4"/>
        <v>100.12604166666668</v>
      </c>
      <c r="K7" s="37">
        <v>0</v>
      </c>
      <c r="L7" s="146">
        <f t="shared" si="5"/>
        <v>1201.5125</v>
      </c>
      <c r="M7" s="32"/>
      <c r="N7" s="32"/>
      <c r="O7" s="32"/>
    </row>
    <row r="8" spans="1:15" ht="25.2" customHeight="1" x14ac:dyDescent="0.3">
      <c r="A8" s="30"/>
      <c r="B8" s="33" t="s">
        <v>113</v>
      </c>
      <c r="C8" s="34" t="s">
        <v>56</v>
      </c>
      <c r="D8" s="35">
        <f>Estimate!K$49</f>
        <v>234.5</v>
      </c>
      <c r="E8" s="35">
        <f>Estimate!$N49</f>
        <v>136.65208333333334</v>
      </c>
      <c r="F8" s="36">
        <f t="shared" si="0"/>
        <v>0</v>
      </c>
      <c r="G8" s="36">
        <f t="shared" si="1"/>
        <v>0</v>
      </c>
      <c r="H8" s="36">
        <f t="shared" si="2"/>
        <v>371.15208333333334</v>
      </c>
      <c r="I8" s="36">
        <f t="shared" si="3"/>
        <v>37.115208333333335</v>
      </c>
      <c r="J8" s="36">
        <f t="shared" si="4"/>
        <v>37.115208333333335</v>
      </c>
      <c r="K8" s="37">
        <v>0</v>
      </c>
      <c r="L8" s="146">
        <f t="shared" si="5"/>
        <v>445.38249999999999</v>
      </c>
      <c r="M8" s="32"/>
      <c r="N8" s="32"/>
      <c r="O8" s="32"/>
    </row>
    <row r="9" spans="1:15" ht="25.2" customHeight="1" x14ac:dyDescent="0.3">
      <c r="A9" s="30"/>
      <c r="B9" s="33" t="s">
        <v>115</v>
      </c>
      <c r="C9" s="34" t="s">
        <v>57</v>
      </c>
      <c r="D9" s="35">
        <f>Estimate!K$56</f>
        <v>90</v>
      </c>
      <c r="E9" s="35">
        <f>Estimate!$N56</f>
        <v>81.583333333333343</v>
      </c>
      <c r="F9" s="36">
        <f t="shared" si="0"/>
        <v>0</v>
      </c>
      <c r="G9" s="36">
        <f t="shared" si="1"/>
        <v>0</v>
      </c>
      <c r="H9" s="36">
        <f t="shared" ref="H9:H13" si="6">D9+E9+F9+G9</f>
        <v>171.58333333333334</v>
      </c>
      <c r="I9" s="36">
        <f t="shared" si="3"/>
        <v>17.158333333333335</v>
      </c>
      <c r="J9" s="36">
        <f t="shared" si="4"/>
        <v>17.158333333333335</v>
      </c>
      <c r="K9" s="37">
        <v>0</v>
      </c>
      <c r="L9" s="146">
        <f t="shared" si="5"/>
        <v>205.9</v>
      </c>
      <c r="M9" s="32"/>
      <c r="N9" s="32"/>
      <c r="O9" s="32"/>
    </row>
    <row r="10" spans="1:15" ht="25.2" customHeight="1" x14ac:dyDescent="0.3">
      <c r="A10" s="30"/>
      <c r="B10" s="33" t="s">
        <v>46</v>
      </c>
      <c r="C10" s="34" t="s">
        <v>45</v>
      </c>
      <c r="D10" s="35">
        <f>Estimate!K$76</f>
        <v>10108.1675</v>
      </c>
      <c r="E10" s="35">
        <f>Estimate!$N76</f>
        <v>2425.4647015931373</v>
      </c>
      <c r="F10" s="36">
        <f t="shared" si="0"/>
        <v>0</v>
      </c>
      <c r="G10" s="36">
        <f t="shared" si="1"/>
        <v>0</v>
      </c>
      <c r="H10" s="36">
        <f t="shared" si="6"/>
        <v>12533.632201593136</v>
      </c>
      <c r="I10" s="36">
        <f t="shared" si="3"/>
        <v>1253.3632201593136</v>
      </c>
      <c r="J10" s="36">
        <f t="shared" si="4"/>
        <v>1253.3632201593136</v>
      </c>
      <c r="K10" s="37">
        <v>0</v>
      </c>
      <c r="L10" s="146">
        <f t="shared" si="5"/>
        <v>15040.358641911764</v>
      </c>
      <c r="M10" s="32"/>
      <c r="N10" s="32"/>
      <c r="O10" s="32"/>
    </row>
    <row r="11" spans="1:15" ht="25.2" customHeight="1" x14ac:dyDescent="0.3">
      <c r="A11" s="30"/>
      <c r="B11" s="33" t="s">
        <v>44</v>
      </c>
      <c r="C11" s="34" t="s">
        <v>47</v>
      </c>
      <c r="D11" s="35">
        <f>Estimate!K$132</f>
        <v>28750.356113387978</v>
      </c>
      <c r="E11" s="35">
        <f>Estimate!$N132</f>
        <v>24061.211826157411</v>
      </c>
      <c r="F11" s="36">
        <f t="shared" si="0"/>
        <v>0</v>
      </c>
      <c r="G11" s="36">
        <f t="shared" si="1"/>
        <v>0</v>
      </c>
      <c r="H11" s="36">
        <f t="shared" si="6"/>
        <v>52811.567939545392</v>
      </c>
      <c r="I11" s="36">
        <f t="shared" si="3"/>
        <v>5281.1567939545394</v>
      </c>
      <c r="J11" s="36">
        <f t="shared" si="4"/>
        <v>5281.1567939545394</v>
      </c>
      <c r="K11" s="37">
        <v>0</v>
      </c>
      <c r="L11" s="146">
        <f t="shared" si="5"/>
        <v>63373.881527454476</v>
      </c>
      <c r="M11" s="32"/>
      <c r="N11" s="32"/>
      <c r="O11" s="32"/>
    </row>
    <row r="12" spans="1:15" ht="25.2" customHeight="1" x14ac:dyDescent="0.3">
      <c r="A12" s="30"/>
      <c r="B12" s="33" t="s">
        <v>58</v>
      </c>
      <c r="C12" s="34" t="s">
        <v>59</v>
      </c>
      <c r="D12" s="35">
        <f>Estimate!K$142</f>
        <v>1782.1599999999999</v>
      </c>
      <c r="E12" s="35">
        <f>Estimate!$N142</f>
        <v>537.00869444444447</v>
      </c>
      <c r="F12" s="36">
        <f t="shared" si="0"/>
        <v>0</v>
      </c>
      <c r="G12" s="36">
        <f t="shared" si="1"/>
        <v>0</v>
      </c>
      <c r="H12" s="36">
        <f t="shared" si="6"/>
        <v>2319.1686944444446</v>
      </c>
      <c r="I12" s="36">
        <f t="shared" si="3"/>
        <v>231.91686944444447</v>
      </c>
      <c r="J12" s="36">
        <f t="shared" si="4"/>
        <v>231.91686944444447</v>
      </c>
      <c r="K12" s="37">
        <v>0</v>
      </c>
      <c r="L12" s="146">
        <f t="shared" si="5"/>
        <v>2783.0024333333331</v>
      </c>
      <c r="M12" s="32"/>
      <c r="N12" s="32"/>
      <c r="O12" s="32"/>
    </row>
    <row r="13" spans="1:15" ht="25.2" customHeight="1" x14ac:dyDescent="0.3">
      <c r="A13" s="30"/>
      <c r="B13" s="33" t="s">
        <v>60</v>
      </c>
      <c r="C13" s="34" t="s">
        <v>61</v>
      </c>
      <c r="D13" s="35">
        <f>Estimate!K$155</f>
        <v>20347.55</v>
      </c>
      <c r="E13" s="35">
        <f>Estimate!$N155</f>
        <v>4882.4145710784323</v>
      </c>
      <c r="F13" s="36">
        <f t="shared" si="0"/>
        <v>0</v>
      </c>
      <c r="G13" s="36">
        <f t="shared" si="1"/>
        <v>0</v>
      </c>
      <c r="H13" s="36">
        <f t="shared" si="6"/>
        <v>25229.964571078432</v>
      </c>
      <c r="I13" s="36">
        <f t="shared" si="3"/>
        <v>2522.9964571078435</v>
      </c>
      <c r="J13" s="36">
        <f t="shared" si="4"/>
        <v>2522.9964571078435</v>
      </c>
      <c r="K13" s="37">
        <v>0</v>
      </c>
      <c r="L13" s="146">
        <f t="shared" si="5"/>
        <v>30275.957485294122</v>
      </c>
      <c r="M13" s="32"/>
      <c r="N13" s="32"/>
      <c r="O13" s="32"/>
    </row>
    <row r="14" spans="1:15" ht="25.2" customHeight="1" x14ac:dyDescent="0.3">
      <c r="A14" s="30"/>
      <c r="B14" s="33" t="s">
        <v>62</v>
      </c>
      <c r="C14" s="34" t="s">
        <v>63</v>
      </c>
      <c r="D14" s="35">
        <f>Estimate!K$168</f>
        <v>10668.779999999999</v>
      </c>
      <c r="E14" s="35">
        <f>Estimate!$N168</f>
        <v>6017.4778888888895</v>
      </c>
      <c r="F14" s="36">
        <f t="shared" si="0"/>
        <v>0</v>
      </c>
      <c r="G14" s="36">
        <f t="shared" si="1"/>
        <v>0</v>
      </c>
      <c r="H14" s="36">
        <f t="shared" ref="H14" si="7">D14+E14+F14+G14</f>
        <v>16686.257888888889</v>
      </c>
      <c r="I14" s="36">
        <f t="shared" si="3"/>
        <v>1668.625788888889</v>
      </c>
      <c r="J14" s="36">
        <f t="shared" si="4"/>
        <v>1668.625788888889</v>
      </c>
      <c r="K14" s="37">
        <v>0</v>
      </c>
      <c r="L14" s="146">
        <f t="shared" si="5"/>
        <v>20023.50946666667</v>
      </c>
      <c r="M14" s="32"/>
      <c r="N14" s="32"/>
      <c r="O14" s="32"/>
    </row>
    <row r="15" spans="1:15" ht="25.2" customHeight="1" x14ac:dyDescent="0.3">
      <c r="A15" s="30"/>
      <c r="B15" s="33" t="s">
        <v>130</v>
      </c>
      <c r="C15" s="34" t="s">
        <v>133</v>
      </c>
      <c r="D15" s="35">
        <f>Estimate!K$221</f>
        <v>8220.3072199999988</v>
      </c>
      <c r="E15" s="35">
        <f>Estimate!N$221</f>
        <v>3845.0347103055556</v>
      </c>
      <c r="F15" s="36">
        <f t="shared" si="0"/>
        <v>0</v>
      </c>
      <c r="G15" s="36">
        <f t="shared" si="1"/>
        <v>0</v>
      </c>
      <c r="H15" s="36">
        <f t="shared" ref="H15:H17" si="8">D15+E15+F15+G15</f>
        <v>12065.341930305554</v>
      </c>
      <c r="I15" s="36">
        <f t="shared" si="3"/>
        <v>1206.5341930305556</v>
      </c>
      <c r="J15" s="36">
        <f t="shared" si="4"/>
        <v>1206.5341930305556</v>
      </c>
      <c r="K15" s="37">
        <v>0</v>
      </c>
      <c r="L15" s="146">
        <f t="shared" si="5"/>
        <v>14478.410316366664</v>
      </c>
      <c r="M15" s="32"/>
      <c r="N15" s="32"/>
      <c r="O15" s="32"/>
    </row>
    <row r="16" spans="1:15" ht="25.2" customHeight="1" x14ac:dyDescent="0.3">
      <c r="A16" s="30"/>
      <c r="B16" s="33" t="s">
        <v>131</v>
      </c>
      <c r="C16" s="34" t="s">
        <v>161</v>
      </c>
      <c r="D16" s="35">
        <f>Estimate!K$291</f>
        <v>11439.153999999999</v>
      </c>
      <c r="E16" s="35">
        <f>Estimate!N$291</f>
        <v>6550.5560796296304</v>
      </c>
      <c r="F16" s="36">
        <f t="shared" si="0"/>
        <v>0</v>
      </c>
      <c r="G16" s="36">
        <f t="shared" si="1"/>
        <v>0</v>
      </c>
      <c r="H16" s="36">
        <f t="shared" si="8"/>
        <v>17989.710079629629</v>
      </c>
      <c r="I16" s="36">
        <f t="shared" si="3"/>
        <v>1798.9710079629631</v>
      </c>
      <c r="J16" s="36">
        <f t="shared" si="4"/>
        <v>1798.9710079629631</v>
      </c>
      <c r="K16" s="37">
        <v>0</v>
      </c>
      <c r="L16" s="146">
        <f t="shared" si="5"/>
        <v>21587.652095555553</v>
      </c>
      <c r="M16" s="32"/>
      <c r="N16" s="32"/>
      <c r="O16" s="32"/>
    </row>
    <row r="17" spans="1:16" ht="25.2" customHeight="1" x14ac:dyDescent="0.3">
      <c r="A17" s="30"/>
      <c r="B17" s="33" t="s">
        <v>132</v>
      </c>
      <c r="C17" s="34" t="s">
        <v>134</v>
      </c>
      <c r="D17" s="35">
        <f>Estimate!K$348</f>
        <v>14619.049288000004</v>
      </c>
      <c r="E17" s="35">
        <f>Estimate!N$348</f>
        <v>6662.3971194000023</v>
      </c>
      <c r="F17" s="36">
        <f t="shared" si="0"/>
        <v>0</v>
      </c>
      <c r="G17" s="36">
        <f t="shared" si="1"/>
        <v>0</v>
      </c>
      <c r="H17" s="36">
        <f t="shared" si="8"/>
        <v>21281.446407400006</v>
      </c>
      <c r="I17" s="36">
        <f t="shared" si="3"/>
        <v>2128.1446407400008</v>
      </c>
      <c r="J17" s="36">
        <f t="shared" si="4"/>
        <v>2128.1446407400008</v>
      </c>
      <c r="K17" s="37">
        <v>0</v>
      </c>
      <c r="L17" s="146">
        <f t="shared" si="5"/>
        <v>25537.735688880006</v>
      </c>
      <c r="M17" s="32"/>
      <c r="N17" s="32"/>
      <c r="O17" s="32"/>
    </row>
    <row r="18" spans="1:16" ht="20.100000000000001" customHeight="1" x14ac:dyDescent="0.3">
      <c r="A18" s="30"/>
      <c r="B18" s="38"/>
      <c r="C18" s="34"/>
      <c r="D18" s="35"/>
      <c r="E18" s="36"/>
      <c r="F18" s="36"/>
      <c r="G18" s="36"/>
      <c r="H18" s="36"/>
      <c r="I18" s="36"/>
      <c r="J18" s="36"/>
      <c r="K18" s="36"/>
      <c r="L18" s="146"/>
      <c r="M18" s="32"/>
      <c r="N18" s="32"/>
      <c r="O18" s="32"/>
    </row>
    <row r="19" spans="1:16" ht="20.100000000000001" customHeight="1" x14ac:dyDescent="0.3">
      <c r="A19" s="30"/>
      <c r="B19" s="170"/>
      <c r="C19" s="171" t="s">
        <v>24</v>
      </c>
      <c r="D19" s="171">
        <f t="shared" ref="D19:L19" si="9">SUM(D$5:D$18)</f>
        <v>107067.52412138799</v>
      </c>
      <c r="E19" s="171">
        <f t="shared" si="9"/>
        <v>87731.257952608605</v>
      </c>
      <c r="F19" s="171">
        <f t="shared" si="9"/>
        <v>0</v>
      </c>
      <c r="G19" s="171">
        <f t="shared" si="9"/>
        <v>0</v>
      </c>
      <c r="H19" s="171">
        <f t="shared" si="9"/>
        <v>194798.78207399661</v>
      </c>
      <c r="I19" s="171">
        <f t="shared" si="9"/>
        <v>19479.878207399659</v>
      </c>
      <c r="J19" s="171">
        <f t="shared" si="9"/>
        <v>19479.878207399659</v>
      </c>
      <c r="K19" s="171">
        <f t="shared" si="9"/>
        <v>0</v>
      </c>
      <c r="L19" s="172">
        <f t="shared" si="9"/>
        <v>233758.53848879592</v>
      </c>
      <c r="M19" s="32"/>
      <c r="N19" s="32"/>
      <c r="O19" s="32"/>
    </row>
    <row r="20" spans="1:16" ht="20.100000000000001" customHeight="1" thickBot="1" x14ac:dyDescent="0.35">
      <c r="A20" s="30"/>
      <c r="B20" s="39"/>
      <c r="C20" s="40"/>
      <c r="D20" s="41"/>
      <c r="E20" s="41"/>
      <c r="F20" s="41"/>
      <c r="G20" s="41"/>
      <c r="H20" s="41"/>
      <c r="I20" s="41"/>
      <c r="J20" s="41"/>
      <c r="K20" s="42"/>
      <c r="L20" s="147"/>
    </row>
    <row r="21" spans="1:16" ht="15" thickBot="1" x14ac:dyDescent="0.35">
      <c r="A21" s="30"/>
      <c r="M21" s="28"/>
    </row>
    <row r="22" spans="1:16" ht="30" customHeight="1" thickBot="1" x14ac:dyDescent="0.35">
      <c r="A22" s="30"/>
      <c r="B22" s="178" t="s">
        <v>15</v>
      </c>
      <c r="C22" s="179"/>
      <c r="D22" s="179"/>
      <c r="E22" s="180"/>
      <c r="F22" s="29"/>
      <c r="G22" s="178" t="s">
        <v>40</v>
      </c>
      <c r="H22" s="179"/>
      <c r="I22" s="179"/>
      <c r="J22" s="179"/>
      <c r="K22" s="179"/>
      <c r="L22" s="180"/>
      <c r="M22" s="28"/>
    </row>
    <row r="23" spans="1:16" ht="25.2" customHeight="1" thickBot="1" x14ac:dyDescent="0.35">
      <c r="A23" s="30"/>
      <c r="B23" s="43">
        <v>1</v>
      </c>
      <c r="C23" s="22" t="s">
        <v>26</v>
      </c>
      <c r="D23" s="8"/>
      <c r="E23" s="7">
        <f>D19</f>
        <v>107067.52412138799</v>
      </c>
      <c r="F23" s="29"/>
      <c r="G23" s="33">
        <v>1</v>
      </c>
      <c r="H23" s="181" t="s">
        <v>37</v>
      </c>
      <c r="I23" s="181"/>
      <c r="J23" s="181"/>
      <c r="K23" s="44"/>
      <c r="L23" s="16">
        <f>Estimate!Q$350</f>
        <v>1397.9827978061012</v>
      </c>
      <c r="M23" s="28"/>
    </row>
    <row r="24" spans="1:16" ht="25.2" customHeight="1" thickBot="1" x14ac:dyDescent="0.35">
      <c r="A24" s="30"/>
      <c r="B24" s="38"/>
      <c r="C24" s="45" t="s">
        <v>28</v>
      </c>
      <c r="D24" s="11"/>
      <c r="E24" s="46">
        <f>E23*D24</f>
        <v>0</v>
      </c>
      <c r="F24" s="29"/>
      <c r="G24" s="38">
        <v>2</v>
      </c>
      <c r="H24" s="177" t="s">
        <v>38</v>
      </c>
      <c r="I24" s="177"/>
      <c r="J24" s="177"/>
      <c r="K24" s="47"/>
      <c r="L24" s="21">
        <f>L23/8</f>
        <v>174.74784972576265</v>
      </c>
      <c r="M24" s="28"/>
    </row>
    <row r="25" spans="1:16" ht="25.2" customHeight="1" x14ac:dyDescent="0.3">
      <c r="A25" s="30"/>
      <c r="B25" s="38"/>
      <c r="C25" s="48" t="s">
        <v>30</v>
      </c>
      <c r="D25" s="12"/>
      <c r="E25" s="49">
        <v>0</v>
      </c>
      <c r="F25" s="29"/>
      <c r="G25" s="38">
        <v>3</v>
      </c>
      <c r="H25" s="177" t="s">
        <v>34</v>
      </c>
      <c r="I25" s="177"/>
      <c r="J25" s="177"/>
      <c r="K25" s="47"/>
      <c r="L25" s="13">
        <f>J26+J27+J28</f>
        <v>5</v>
      </c>
      <c r="M25" s="28"/>
    </row>
    <row r="26" spans="1:16" ht="25.2" customHeight="1" thickBot="1" x14ac:dyDescent="0.35">
      <c r="A26" s="30"/>
      <c r="B26" s="38">
        <v>2</v>
      </c>
      <c r="C26" s="23" t="s">
        <v>27</v>
      </c>
      <c r="D26" s="9"/>
      <c r="E26" s="1">
        <f>E19</f>
        <v>87731.257952608605</v>
      </c>
      <c r="F26" s="29"/>
      <c r="G26" s="38">
        <v>4</v>
      </c>
      <c r="H26" s="177" t="s">
        <v>48</v>
      </c>
      <c r="I26" s="177"/>
      <c r="J26" s="50">
        <v>3</v>
      </c>
      <c r="K26" s="51"/>
      <c r="L26" s="52"/>
      <c r="M26" s="28"/>
      <c r="N26" s="32"/>
      <c r="O26" s="32"/>
      <c r="P26" s="32"/>
    </row>
    <row r="27" spans="1:16" ht="25.2" customHeight="1" thickBot="1" x14ac:dyDescent="0.35">
      <c r="A27" s="30"/>
      <c r="B27" s="38"/>
      <c r="C27" s="45" t="s">
        <v>19</v>
      </c>
      <c r="D27" s="11"/>
      <c r="E27" s="46">
        <f>E26*D27</f>
        <v>0</v>
      </c>
      <c r="F27" s="29"/>
      <c r="G27" s="38">
        <v>5</v>
      </c>
      <c r="H27" s="177" t="s">
        <v>35</v>
      </c>
      <c r="I27" s="177"/>
      <c r="J27" s="50">
        <v>1</v>
      </c>
      <c r="K27" s="51"/>
      <c r="L27" s="52"/>
      <c r="M27" s="28"/>
      <c r="N27" s="32"/>
      <c r="O27" s="32"/>
      <c r="P27" s="32"/>
    </row>
    <row r="28" spans="1:16" ht="25.2" customHeight="1" thickBot="1" x14ac:dyDescent="0.35">
      <c r="A28" s="30"/>
      <c r="B28" s="38">
        <v>3</v>
      </c>
      <c r="C28" s="23" t="s">
        <v>20</v>
      </c>
      <c r="D28" s="9"/>
      <c r="E28" s="1">
        <f>SUM(E23:E27)</f>
        <v>194798.78207399661</v>
      </c>
      <c r="F28" s="29"/>
      <c r="G28" s="38">
        <v>6</v>
      </c>
      <c r="H28" s="177" t="s">
        <v>36</v>
      </c>
      <c r="I28" s="177"/>
      <c r="J28" s="50">
        <v>1</v>
      </c>
      <c r="K28" s="51"/>
      <c r="L28" s="52"/>
      <c r="M28" s="28"/>
      <c r="N28" s="32"/>
      <c r="O28" s="32"/>
      <c r="P28" s="32"/>
    </row>
    <row r="29" spans="1:16" ht="25.2" customHeight="1" thickBot="1" x14ac:dyDescent="0.35">
      <c r="A29" s="30"/>
      <c r="B29" s="38"/>
      <c r="C29" s="45" t="s">
        <v>29</v>
      </c>
      <c r="D29" s="19">
        <v>0.1</v>
      </c>
      <c r="E29" s="46">
        <f>E28*D29</f>
        <v>19479.878207399663</v>
      </c>
      <c r="F29" s="29"/>
      <c r="G29" s="38">
        <v>7</v>
      </c>
      <c r="H29" s="177" t="s">
        <v>14</v>
      </c>
      <c r="I29" s="177"/>
      <c r="J29" s="177"/>
      <c r="K29" s="47"/>
      <c r="L29" s="52">
        <f>(L26*J26/L25)+(L27*J27/L25)+(L28*J28/L25)</f>
        <v>0</v>
      </c>
      <c r="M29" s="28"/>
      <c r="N29" s="32"/>
      <c r="O29" s="32"/>
      <c r="P29" s="32"/>
    </row>
    <row r="30" spans="1:16" ht="25.2" customHeight="1" thickBot="1" x14ac:dyDescent="0.35">
      <c r="A30" s="30"/>
      <c r="B30" s="38"/>
      <c r="C30" s="45" t="s">
        <v>32</v>
      </c>
      <c r="D30" s="19">
        <v>0.1</v>
      </c>
      <c r="E30" s="46">
        <f>E28*D30</f>
        <v>19479.878207399663</v>
      </c>
      <c r="F30" s="29"/>
      <c r="G30" s="39">
        <v>8</v>
      </c>
      <c r="H30" s="176" t="s">
        <v>39</v>
      </c>
      <c r="I30" s="176"/>
      <c r="J30" s="176"/>
      <c r="K30" s="53"/>
      <c r="L30" s="20">
        <f>L29</f>
        <v>0</v>
      </c>
      <c r="M30" s="28"/>
      <c r="N30" s="32"/>
      <c r="O30" s="32"/>
      <c r="P30" s="32"/>
    </row>
    <row r="31" spans="1:16" ht="25.2" customHeight="1" thickBot="1" x14ac:dyDescent="0.35">
      <c r="A31" s="30"/>
      <c r="B31" s="38">
        <v>4</v>
      </c>
      <c r="C31" s="23" t="s">
        <v>31</v>
      </c>
      <c r="D31" s="10"/>
      <c r="E31" s="1">
        <f>SUM(E28:E30)</f>
        <v>233758.53848879592</v>
      </c>
      <c r="F31" s="29"/>
      <c r="G31" s="31"/>
      <c r="H31" s="24"/>
      <c r="I31" s="14"/>
      <c r="J31" s="15"/>
      <c r="K31" s="15"/>
      <c r="L31" s="29"/>
      <c r="M31" s="28"/>
      <c r="N31" s="32"/>
      <c r="O31" s="32"/>
      <c r="P31" s="32"/>
    </row>
    <row r="32" spans="1:16" ht="25.2" customHeight="1" thickBot="1" x14ac:dyDescent="0.35">
      <c r="A32" s="30"/>
      <c r="B32" s="55"/>
      <c r="C32" s="56"/>
      <c r="D32" s="144"/>
      <c r="E32" s="57"/>
      <c r="F32" s="29"/>
      <c r="G32" s="54"/>
      <c r="H32" s="173" t="s">
        <v>41</v>
      </c>
      <c r="I32" s="174"/>
      <c r="J32" s="174"/>
      <c r="K32" s="174"/>
      <c r="L32" s="175"/>
      <c r="M32" s="28"/>
      <c r="N32" s="32"/>
      <c r="O32" s="32"/>
      <c r="P32" s="32"/>
    </row>
    <row r="33" spans="1:16" ht="25.2" customHeight="1" thickBot="1" x14ac:dyDescent="0.35">
      <c r="A33" s="30"/>
      <c r="B33" s="55"/>
      <c r="C33" s="56"/>
      <c r="D33" s="17"/>
      <c r="E33" s="57"/>
      <c r="F33" s="29"/>
      <c r="G33" s="31"/>
      <c r="H33" s="29"/>
      <c r="I33" s="6"/>
      <c r="J33" s="29"/>
      <c r="K33" s="29"/>
      <c r="L33" s="29"/>
      <c r="M33" s="28"/>
      <c r="N33" s="32"/>
      <c r="O33" s="32"/>
      <c r="P33" s="32"/>
    </row>
    <row r="34" spans="1:16" ht="25.2" customHeight="1" thickBot="1" x14ac:dyDescent="0.35">
      <c r="A34" s="30"/>
      <c r="B34" s="58">
        <v>5</v>
      </c>
      <c r="C34" s="25" t="s">
        <v>33</v>
      </c>
      <c r="D34" s="18"/>
      <c r="E34" s="26">
        <f>SUM(E31:E33)</f>
        <v>233758.53848879592</v>
      </c>
      <c r="F34" s="29"/>
      <c r="G34" s="29"/>
      <c r="H34" s="29"/>
      <c r="I34" s="29"/>
      <c r="L34" s="29"/>
      <c r="M34" s="28"/>
      <c r="N34" s="32"/>
      <c r="O34" s="32"/>
      <c r="P34" s="32"/>
    </row>
    <row r="35" spans="1:16" x14ac:dyDescent="0.3">
      <c r="A35" s="30"/>
      <c r="B35" s="29"/>
      <c r="E35" s="29"/>
      <c r="F35" s="29"/>
      <c r="J35" s="29"/>
      <c r="K35" s="29"/>
      <c r="L35" s="29"/>
      <c r="M35" s="28"/>
    </row>
    <row r="36" spans="1:16" ht="15" thickBot="1" x14ac:dyDescent="0.35">
      <c r="A36" s="59"/>
      <c r="B36" s="60"/>
      <c r="C36" s="61"/>
      <c r="D36" s="61"/>
      <c r="E36" s="62"/>
      <c r="F36" s="62"/>
      <c r="J36" s="62"/>
      <c r="K36" s="62"/>
      <c r="L36" s="62"/>
      <c r="M36" s="63"/>
    </row>
  </sheetData>
  <mergeCells count="13">
    <mergeCell ref="B22:E22"/>
    <mergeCell ref="G22:L22"/>
    <mergeCell ref="H23:J23"/>
    <mergeCell ref="B3:L3"/>
    <mergeCell ref="A1:L1"/>
    <mergeCell ref="H32:L32"/>
    <mergeCell ref="H30:J30"/>
    <mergeCell ref="H24:J24"/>
    <mergeCell ref="H25:J25"/>
    <mergeCell ref="H29:J29"/>
    <mergeCell ref="H26:I26"/>
    <mergeCell ref="H27:I27"/>
    <mergeCell ref="H28:I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E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W360"/>
  <sheetViews>
    <sheetView tabSelected="1" topLeftCell="A343" zoomScale="50" zoomScaleNormal="50" zoomScaleSheetLayoutView="85" workbookViewId="0">
      <selection activeCell="P1" sqref="P1:R1"/>
    </sheetView>
  </sheetViews>
  <sheetFormatPr defaultColWidth="8.88671875" defaultRowHeight="14.4" x14ac:dyDescent="0.3"/>
  <cols>
    <col min="1" max="1" width="6.109375" style="64" customWidth="1"/>
    <col min="2" max="2" width="12.44140625" style="64" customWidth="1"/>
    <col min="3" max="3" width="16.6640625" style="64" customWidth="1"/>
    <col min="4" max="4" width="12.88671875" style="136" bestFit="1" customWidth="1"/>
    <col min="5" max="5" width="82.6640625" style="137" bestFit="1" customWidth="1"/>
    <col min="6" max="6" width="11.5546875" style="138" customWidth="1"/>
    <col min="7" max="7" width="14.5546875" style="64" hidden="1" customWidth="1"/>
    <col min="8" max="8" width="11.6640625" style="139" customWidth="1"/>
    <col min="9" max="9" width="11.88671875" style="139" customWidth="1"/>
    <col min="10" max="10" width="18.6640625" style="138" customWidth="1"/>
    <col min="11" max="13" width="18.6640625" style="140" customWidth="1"/>
    <col min="14" max="15" width="18.6640625" style="141" customWidth="1"/>
    <col min="16" max="16" width="18.6640625" style="140" customWidth="1"/>
    <col min="17" max="17" width="18.6640625" style="142" customWidth="1"/>
    <col min="18" max="18" width="24.6640625" style="143" customWidth="1"/>
    <col min="19" max="19" width="13.33203125" style="64" bestFit="1" customWidth="1"/>
    <col min="20" max="20" width="8.88671875" style="64"/>
    <col min="21" max="21" width="14.5546875" style="64" bestFit="1" customWidth="1"/>
    <col min="22" max="16384" width="8.88671875" style="64"/>
  </cols>
  <sheetData>
    <row r="1" spans="1:19" ht="75" customHeight="1" thickBot="1" x14ac:dyDescent="0.35">
      <c r="A1" s="208"/>
      <c r="B1" s="209"/>
      <c r="C1" s="209"/>
      <c r="D1" s="210"/>
      <c r="E1" s="238" t="s">
        <v>175</v>
      </c>
      <c r="F1" s="239"/>
      <c r="G1" s="239"/>
      <c r="H1" s="239"/>
      <c r="I1" s="239"/>
      <c r="J1" s="239"/>
      <c r="K1" s="239"/>
      <c r="L1" s="239"/>
      <c r="M1" s="240"/>
      <c r="N1" s="229" t="s">
        <v>155</v>
      </c>
      <c r="O1" s="230"/>
      <c r="P1" s="226">
        <f>SUM(R$352+R$353)</f>
        <v>194798.78207399676</v>
      </c>
      <c r="Q1" s="227"/>
      <c r="R1" s="228"/>
    </row>
    <row r="2" spans="1:19" ht="69.900000000000006" customHeight="1" thickBot="1" x14ac:dyDescent="0.35">
      <c r="A2" s="211"/>
      <c r="B2" s="212"/>
      <c r="C2" s="212"/>
      <c r="D2" s="213"/>
      <c r="E2" s="236" t="s">
        <v>176</v>
      </c>
      <c r="F2" s="237"/>
      <c r="G2" s="237"/>
      <c r="H2" s="237"/>
      <c r="I2" s="237"/>
      <c r="J2" s="237"/>
      <c r="K2" s="237"/>
      <c r="L2" s="237"/>
      <c r="M2" s="237"/>
      <c r="N2" s="229" t="s">
        <v>153</v>
      </c>
      <c r="O2" s="230"/>
      <c r="P2" s="226">
        <f>P$1*'Bid Recap &amp; Summary'!D$29</f>
        <v>19479.878207399677</v>
      </c>
      <c r="Q2" s="227"/>
      <c r="R2" s="228"/>
    </row>
    <row r="3" spans="1:19" ht="65.099999999999994" customHeight="1" thickBot="1" x14ac:dyDescent="0.35">
      <c r="A3" s="214"/>
      <c r="B3" s="215"/>
      <c r="C3" s="215"/>
      <c r="D3" s="216"/>
      <c r="E3" s="223" t="s">
        <v>177</v>
      </c>
      <c r="F3" s="224"/>
      <c r="G3" s="224"/>
      <c r="H3" s="224"/>
      <c r="I3" s="224"/>
      <c r="J3" s="224"/>
      <c r="K3" s="224"/>
      <c r="L3" s="224"/>
      <c r="M3" s="225"/>
      <c r="N3" s="229" t="s">
        <v>154</v>
      </c>
      <c r="O3" s="230"/>
      <c r="P3" s="226">
        <f>P$1*'Bid Recap &amp; Summary'!D$30</f>
        <v>19479.878207399677</v>
      </c>
      <c r="Q3" s="227"/>
      <c r="R3" s="228"/>
    </row>
    <row r="4" spans="1:19" ht="60" customHeight="1" thickBot="1" x14ac:dyDescent="0.35">
      <c r="A4" s="217"/>
      <c r="B4" s="218"/>
      <c r="C4" s="218"/>
      <c r="D4" s="219"/>
      <c r="E4" s="223" t="s">
        <v>171</v>
      </c>
      <c r="F4" s="224"/>
      <c r="G4" s="224"/>
      <c r="H4" s="224"/>
      <c r="I4" s="224"/>
      <c r="J4" s="224"/>
      <c r="K4" s="224"/>
      <c r="L4" s="224"/>
      <c r="M4" s="225"/>
      <c r="N4" s="231" t="s">
        <v>137</v>
      </c>
      <c r="O4" s="233"/>
      <c r="P4" s="226">
        <f>SUM('Bid Recap &amp; Summary'!E$24+'Bid Recap &amp; Summary'!E$25+'Bid Recap &amp; Summary'!E$27)+SUM('Bid Recap &amp; Summary'!E$32:E$33)</f>
        <v>0</v>
      </c>
      <c r="Q4" s="227"/>
      <c r="R4" s="228"/>
    </row>
    <row r="5" spans="1:19" ht="60" customHeight="1" thickBot="1" x14ac:dyDescent="0.35">
      <c r="A5" s="220"/>
      <c r="B5" s="221"/>
      <c r="C5" s="221"/>
      <c r="D5" s="222"/>
      <c r="E5" s="163" t="s">
        <v>110</v>
      </c>
      <c r="F5" s="206">
        <f ca="1">TODAY()</f>
        <v>45569</v>
      </c>
      <c r="G5" s="206"/>
      <c r="H5" s="206"/>
      <c r="I5" s="206"/>
      <c r="J5" s="206"/>
      <c r="K5" s="206"/>
      <c r="L5" s="206"/>
      <c r="M5" s="207"/>
      <c r="N5" s="234" t="s">
        <v>160</v>
      </c>
      <c r="O5" s="235"/>
      <c r="P5" s="231">
        <f>SUM(P$1:R$4)</f>
        <v>233758.53848879613</v>
      </c>
      <c r="Q5" s="232"/>
      <c r="R5" s="233"/>
    </row>
    <row r="6" spans="1:19" ht="50.1" customHeight="1" thickBot="1" x14ac:dyDescent="0.35">
      <c r="A6" s="65" t="s">
        <v>0</v>
      </c>
      <c r="B6" s="65" t="s">
        <v>10</v>
      </c>
      <c r="C6" s="66" t="s">
        <v>11</v>
      </c>
      <c r="D6" s="67" t="s">
        <v>43</v>
      </c>
      <c r="E6" s="65" t="s">
        <v>1</v>
      </c>
      <c r="F6" s="68" t="s">
        <v>2</v>
      </c>
      <c r="H6" s="65" t="s">
        <v>3</v>
      </c>
      <c r="I6" s="65" t="s">
        <v>123</v>
      </c>
      <c r="J6" s="68" t="s">
        <v>121</v>
      </c>
      <c r="K6" s="69" t="s">
        <v>9</v>
      </c>
      <c r="L6" s="69" t="s">
        <v>4</v>
      </c>
      <c r="M6" s="69" t="s">
        <v>122</v>
      </c>
      <c r="N6" s="70" t="s">
        <v>6</v>
      </c>
      <c r="O6" s="70" t="s">
        <v>7</v>
      </c>
      <c r="P6" s="71" t="s">
        <v>5</v>
      </c>
      <c r="Q6" s="72" t="s">
        <v>8</v>
      </c>
      <c r="R6" s="73"/>
    </row>
    <row r="7" spans="1:19" ht="30" customHeight="1" thickBot="1" x14ac:dyDescent="0.35">
      <c r="A7" s="74"/>
      <c r="B7" s="75"/>
      <c r="C7" s="75"/>
      <c r="D7" s="75"/>
      <c r="E7" s="75"/>
      <c r="F7" s="76"/>
      <c r="H7" s="76"/>
      <c r="I7" s="75"/>
      <c r="J7" s="76"/>
      <c r="K7" s="75"/>
      <c r="L7" s="77"/>
      <c r="M7" s="78">
        <v>48.95</v>
      </c>
      <c r="N7" s="79"/>
      <c r="O7" s="79"/>
      <c r="P7" s="80"/>
      <c r="Q7" s="81"/>
      <c r="R7" s="82"/>
    </row>
    <row r="8" spans="1:19" s="166" customFormat="1" ht="20.100000000000001" customHeight="1" x14ac:dyDescent="0.3">
      <c r="A8" s="164"/>
      <c r="B8" s="165"/>
      <c r="C8" s="165"/>
      <c r="D8" s="166" t="s">
        <v>124</v>
      </c>
      <c r="E8" s="166" t="s">
        <v>125</v>
      </c>
      <c r="F8" s="167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8"/>
    </row>
    <row r="9" spans="1:19" ht="14.4" customHeight="1" x14ac:dyDescent="0.3">
      <c r="A9" s="83" t="str">
        <f>IF(TRIM(H9)&lt;&gt;"",COUNTA(H9:$H$9)&amp;"","")</f>
        <v>1</v>
      </c>
      <c r="B9" s="84"/>
      <c r="C9" s="84"/>
      <c r="D9" s="85"/>
      <c r="E9" s="86" t="s">
        <v>167</v>
      </c>
      <c r="F9" s="87">
        <v>1</v>
      </c>
      <c r="H9" s="88" t="s">
        <v>164</v>
      </c>
      <c r="I9" s="89">
        <f>IF(F9=0,"",0)</f>
        <v>0</v>
      </c>
      <c r="J9" s="90">
        <f t="shared" ref="J9:J14" si="0">IF(F9=0,"",F9+(F9*I9))</f>
        <v>1</v>
      </c>
      <c r="K9" s="91">
        <f>IF(F9=0,"",0)</f>
        <v>0</v>
      </c>
      <c r="L9" s="92">
        <f>IF(F9=0,"",K9*J9)</f>
        <v>0</v>
      </c>
      <c r="M9" s="93">
        <f>IF(F9=0,"",M$7)</f>
        <v>48.95</v>
      </c>
      <c r="N9" s="94">
        <f>IF(F9=0,"",0)</f>
        <v>0</v>
      </c>
      <c r="O9" s="94">
        <f>IF(F9=0,"",N9*J9)</f>
        <v>0</v>
      </c>
      <c r="P9" s="92">
        <v>2000</v>
      </c>
      <c r="Q9" s="95">
        <f>IF(F9=0,"",L9+P9)</f>
        <v>2000</v>
      </c>
      <c r="R9" s="96"/>
      <c r="S9" s="159"/>
    </row>
    <row r="10" spans="1:19" x14ac:dyDescent="0.3">
      <c r="A10" s="83" t="str">
        <f>IF(TRIM(H10)&lt;&gt;"",COUNTA(H9:$H$10)&amp;"","")</f>
        <v>2</v>
      </c>
      <c r="B10" s="84"/>
      <c r="C10" s="84"/>
      <c r="D10" s="85"/>
      <c r="E10" s="86" t="s">
        <v>117</v>
      </c>
      <c r="F10" s="87">
        <v>1</v>
      </c>
      <c r="H10" s="88" t="s">
        <v>164</v>
      </c>
      <c r="I10" s="89">
        <f t="shared" ref="I10:I14" si="1">IF(F10=0,"",0)</f>
        <v>0</v>
      </c>
      <c r="J10" s="90">
        <f t="shared" si="0"/>
        <v>1</v>
      </c>
      <c r="K10" s="91">
        <f t="shared" ref="K10:K14" si="2">IF(F10=0,"",0)</f>
        <v>0</v>
      </c>
      <c r="L10" s="92">
        <f t="shared" ref="L10:L14" si="3">IF(F10=0,"",K10*J10)</f>
        <v>0</v>
      </c>
      <c r="M10" s="93">
        <f t="shared" ref="M10:M14" si="4">IF(F10=0,"",M$7)</f>
        <v>48.95</v>
      </c>
      <c r="N10" s="94">
        <f t="shared" ref="N10:N14" si="5">IF(F10=0,"",0)</f>
        <v>0</v>
      </c>
      <c r="O10" s="94">
        <f>IF(F10=0,"",N10*J10)</f>
        <v>0</v>
      </c>
      <c r="P10" s="92">
        <v>3000</v>
      </c>
      <c r="Q10" s="95">
        <f t="shared" ref="Q10:Q14" si="6">IF(F10=0,"",L10+P10)</f>
        <v>3000</v>
      </c>
      <c r="R10" s="96"/>
    </row>
    <row r="11" spans="1:19" x14ac:dyDescent="0.3">
      <c r="A11" s="83" t="str">
        <f>IF(TRIM(H11)&lt;&gt;"",COUNTA(H9:$H$11)&amp;"","")</f>
        <v>3</v>
      </c>
      <c r="B11" s="84"/>
      <c r="C11" s="84"/>
      <c r="D11" s="85"/>
      <c r="E11" s="86" t="s">
        <v>118</v>
      </c>
      <c r="F11" s="87">
        <v>1</v>
      </c>
      <c r="H11" s="88" t="s">
        <v>164</v>
      </c>
      <c r="I11" s="89">
        <f t="shared" si="1"/>
        <v>0</v>
      </c>
      <c r="J11" s="90">
        <f t="shared" si="0"/>
        <v>1</v>
      </c>
      <c r="K11" s="91">
        <f t="shared" si="2"/>
        <v>0</v>
      </c>
      <c r="L11" s="92">
        <f t="shared" si="3"/>
        <v>0</v>
      </c>
      <c r="M11" s="93">
        <f t="shared" si="4"/>
        <v>48.95</v>
      </c>
      <c r="N11" s="94">
        <f t="shared" si="5"/>
        <v>0</v>
      </c>
      <c r="O11" s="94">
        <f t="shared" ref="O11:O14" si="7">IF(F11=0,"",N11*J11)</f>
        <v>0</v>
      </c>
      <c r="P11" s="92">
        <v>7500</v>
      </c>
      <c r="Q11" s="95">
        <f t="shared" si="6"/>
        <v>7500</v>
      </c>
      <c r="R11" s="96"/>
    </row>
    <row r="12" spans="1:19" x14ac:dyDescent="0.3">
      <c r="A12" s="83" t="str">
        <f>IF(TRIM(H12)&lt;&gt;"",COUNTA(H9:$H$12)&amp;"","")</f>
        <v>4</v>
      </c>
      <c r="B12" s="84"/>
      <c r="C12" s="84"/>
      <c r="D12" s="85"/>
      <c r="E12" s="86" t="s">
        <v>170</v>
      </c>
      <c r="F12" s="87">
        <v>1</v>
      </c>
      <c r="H12" s="88" t="s">
        <v>164</v>
      </c>
      <c r="I12" s="89">
        <f t="shared" si="1"/>
        <v>0</v>
      </c>
      <c r="J12" s="90">
        <f t="shared" si="0"/>
        <v>1</v>
      </c>
      <c r="K12" s="91">
        <f t="shared" si="2"/>
        <v>0</v>
      </c>
      <c r="L12" s="92">
        <f t="shared" si="3"/>
        <v>0</v>
      </c>
      <c r="M12" s="93">
        <f t="shared" si="4"/>
        <v>48.95</v>
      </c>
      <c r="N12" s="94">
        <f t="shared" si="5"/>
        <v>0</v>
      </c>
      <c r="O12" s="94">
        <f t="shared" si="7"/>
        <v>0</v>
      </c>
      <c r="P12" s="92">
        <v>50</v>
      </c>
      <c r="Q12" s="95">
        <f t="shared" si="6"/>
        <v>50</v>
      </c>
      <c r="R12" s="96"/>
    </row>
    <row r="13" spans="1:19" x14ac:dyDescent="0.3">
      <c r="A13" s="83" t="str">
        <f>IF(TRIM(H13)&lt;&gt;"",COUNTA(H9:$H$13)&amp;"","")</f>
        <v>5</v>
      </c>
      <c r="B13" s="84"/>
      <c r="C13" s="84"/>
      <c r="D13" s="85"/>
      <c r="E13" s="97" t="s">
        <v>120</v>
      </c>
      <c r="F13" s="87">
        <v>1</v>
      </c>
      <c r="H13" s="88" t="s">
        <v>164</v>
      </c>
      <c r="I13" s="89">
        <f t="shared" si="1"/>
        <v>0</v>
      </c>
      <c r="J13" s="90">
        <f t="shared" si="0"/>
        <v>1</v>
      </c>
      <c r="K13" s="91">
        <f t="shared" si="2"/>
        <v>0</v>
      </c>
      <c r="L13" s="92">
        <f t="shared" si="3"/>
        <v>0</v>
      </c>
      <c r="M13" s="93">
        <f t="shared" si="4"/>
        <v>48.95</v>
      </c>
      <c r="N13" s="94">
        <f t="shared" si="5"/>
        <v>0</v>
      </c>
      <c r="O13" s="94">
        <f t="shared" si="7"/>
        <v>0</v>
      </c>
      <c r="P13" s="92">
        <v>500</v>
      </c>
      <c r="Q13" s="95">
        <f t="shared" si="6"/>
        <v>500</v>
      </c>
      <c r="R13" s="96"/>
    </row>
    <row r="14" spans="1:19" x14ac:dyDescent="0.3">
      <c r="A14" s="83" t="str">
        <f>IF(TRIM(H14)&lt;&gt;"",COUNTA(H$9:$H14)&amp;"","")</f>
        <v>6</v>
      </c>
      <c r="B14" s="84"/>
      <c r="C14" s="84"/>
      <c r="D14" s="85"/>
      <c r="E14" s="97" t="s">
        <v>165</v>
      </c>
      <c r="F14" s="87">
        <v>1</v>
      </c>
      <c r="H14" s="88" t="s">
        <v>164</v>
      </c>
      <c r="I14" s="89">
        <f t="shared" si="1"/>
        <v>0</v>
      </c>
      <c r="J14" s="90">
        <f t="shared" si="0"/>
        <v>1</v>
      </c>
      <c r="K14" s="91">
        <f t="shared" si="2"/>
        <v>0</v>
      </c>
      <c r="L14" s="92">
        <f t="shared" si="3"/>
        <v>0</v>
      </c>
      <c r="M14" s="93">
        <f t="shared" si="4"/>
        <v>48.95</v>
      </c>
      <c r="N14" s="94">
        <f t="shared" si="5"/>
        <v>0</v>
      </c>
      <c r="O14" s="94">
        <f t="shared" si="7"/>
        <v>0</v>
      </c>
      <c r="P14" s="92">
        <v>1500</v>
      </c>
      <c r="Q14" s="95">
        <f t="shared" si="6"/>
        <v>1500</v>
      </c>
      <c r="R14" s="96"/>
    </row>
    <row r="15" spans="1:19" ht="69" x14ac:dyDescent="0.3">
      <c r="A15" s="83" t="str">
        <f>IF(TRIM(H15)&lt;&gt;"",COUNTA(H$9:$H15)&amp;"","")</f>
        <v>7</v>
      </c>
      <c r="B15" s="84"/>
      <c r="C15" s="84"/>
      <c r="D15" s="85"/>
      <c r="E15" s="86" t="s">
        <v>166</v>
      </c>
      <c r="F15" s="87">
        <v>1</v>
      </c>
      <c r="H15" s="88" t="s">
        <v>164</v>
      </c>
      <c r="I15" s="89">
        <f t="shared" ref="I15:I18" si="8">IF(F15=0,"",0)</f>
        <v>0</v>
      </c>
      <c r="J15" s="90">
        <f t="shared" ref="J15:J18" si="9">IF(F15=0,"",F15+(F15*I15))</f>
        <v>1</v>
      </c>
      <c r="K15" s="91">
        <f t="shared" ref="K15:K18" si="10">IF(F15=0,"",0)</f>
        <v>0</v>
      </c>
      <c r="L15" s="92">
        <f t="shared" ref="L15:L18" si="11">IF(F15=0,"",K15*J15)</f>
        <v>0</v>
      </c>
      <c r="M15" s="93">
        <f t="shared" ref="M15:M18" si="12">IF(F15=0,"",M$7)</f>
        <v>48.95</v>
      </c>
      <c r="N15" s="94">
        <f t="shared" ref="N15:N18" si="13">IF(F15=0,"",0)</f>
        <v>0</v>
      </c>
      <c r="O15" s="94">
        <f t="shared" ref="O15:O18" si="14">IF(F15=0,"",N15*J15)</f>
        <v>0</v>
      </c>
      <c r="P15" s="92">
        <v>750</v>
      </c>
      <c r="Q15" s="95">
        <f t="shared" ref="Q15:Q18" si="15">IF(F15=0,"",L15+P15)</f>
        <v>750</v>
      </c>
      <c r="R15" s="96"/>
    </row>
    <row r="16" spans="1:19" x14ac:dyDescent="0.3">
      <c r="A16" s="83" t="str">
        <f>IF(TRIM(H16)&lt;&gt;"",COUNTA(H$9:$H16)&amp;"","")</f>
        <v>8</v>
      </c>
      <c r="B16" s="84"/>
      <c r="C16" s="84"/>
      <c r="D16" s="85"/>
      <c r="E16" s="97" t="s">
        <v>119</v>
      </c>
      <c r="F16" s="87">
        <v>1</v>
      </c>
      <c r="H16" s="88" t="s">
        <v>164</v>
      </c>
      <c r="I16" s="89">
        <f t="shared" ref="I16" si="16">IF(F16=0,"",0)</f>
        <v>0</v>
      </c>
      <c r="J16" s="90">
        <f t="shared" ref="J16" si="17">IF(F16=0,"",F16+(F16*I16))</f>
        <v>1</v>
      </c>
      <c r="K16" s="91">
        <f t="shared" ref="K16" si="18">IF(F16=0,"",0)</f>
        <v>0</v>
      </c>
      <c r="L16" s="92">
        <f t="shared" ref="L16" si="19">IF(F16=0,"",K16*J16)</f>
        <v>0</v>
      </c>
      <c r="M16" s="93">
        <f t="shared" ref="M16" si="20">IF(F16=0,"",M$7)</f>
        <v>48.95</v>
      </c>
      <c r="N16" s="94">
        <f t="shared" ref="N16" si="21">IF(F16=0,"",0)</f>
        <v>0</v>
      </c>
      <c r="O16" s="94">
        <f t="shared" ref="O16" si="22">IF(F16=0,"",N16*J16)</f>
        <v>0</v>
      </c>
      <c r="P16" s="92">
        <v>1500</v>
      </c>
      <c r="Q16" s="95">
        <f t="shared" ref="Q16" si="23">IF(F16=0,"",L16+P16)</f>
        <v>1500</v>
      </c>
      <c r="R16" s="96"/>
    </row>
    <row r="17" spans="1:23" x14ac:dyDescent="0.3">
      <c r="A17" s="83" t="str">
        <f>IF(TRIM(H17)&lt;&gt;"",COUNTA(H$9:$H17)&amp;"","")</f>
        <v>9</v>
      </c>
      <c r="B17" s="84"/>
      <c r="C17" s="84"/>
      <c r="D17" s="85"/>
      <c r="E17" s="97" t="s">
        <v>168</v>
      </c>
      <c r="F17" s="87">
        <v>1</v>
      </c>
      <c r="H17" s="88" t="s">
        <v>164</v>
      </c>
      <c r="I17" s="89">
        <f>IF(F17=0,"",0)</f>
        <v>0</v>
      </c>
      <c r="J17" s="90">
        <f>IF(F17=0,"",F17+(F17*I17))</f>
        <v>1</v>
      </c>
      <c r="K17" s="91">
        <f>IF(F17=0,"",0)</f>
        <v>0</v>
      </c>
      <c r="L17" s="92">
        <f>IF(F17=0,"",K17*J17)</f>
        <v>0</v>
      </c>
      <c r="M17" s="93">
        <f>IF(F17=0,"",M$7)</f>
        <v>48.95</v>
      </c>
      <c r="N17" s="94">
        <f>IF(F17=0,"",0)</f>
        <v>0</v>
      </c>
      <c r="O17" s="94">
        <f>IF(F17=0,"",N17*J17)</f>
        <v>0</v>
      </c>
      <c r="P17" s="92">
        <v>500</v>
      </c>
      <c r="Q17" s="95">
        <f>IF(F17=0,"",L17+P17)</f>
        <v>500</v>
      </c>
      <c r="R17" s="96"/>
    </row>
    <row r="18" spans="1:23" x14ac:dyDescent="0.3">
      <c r="A18" s="83" t="str">
        <f>IF(TRIM(H18)&lt;&gt;"",COUNTA(H$9:$H18)&amp;"","")</f>
        <v>10</v>
      </c>
      <c r="B18" s="84"/>
      <c r="C18" s="84"/>
      <c r="D18" s="85"/>
      <c r="E18" s="97" t="s">
        <v>169</v>
      </c>
      <c r="F18" s="87">
        <v>1</v>
      </c>
      <c r="H18" s="88" t="s">
        <v>164</v>
      </c>
      <c r="I18" s="89">
        <f t="shared" si="8"/>
        <v>0</v>
      </c>
      <c r="J18" s="90">
        <f t="shared" si="9"/>
        <v>1</v>
      </c>
      <c r="K18" s="91">
        <f t="shared" si="10"/>
        <v>0</v>
      </c>
      <c r="L18" s="92">
        <f t="shared" si="11"/>
        <v>0</v>
      </c>
      <c r="M18" s="93">
        <f t="shared" si="12"/>
        <v>48.95</v>
      </c>
      <c r="N18" s="94">
        <f t="shared" si="13"/>
        <v>0</v>
      </c>
      <c r="O18" s="94">
        <f t="shared" si="14"/>
        <v>0</v>
      </c>
      <c r="P18" s="92">
        <v>2000</v>
      </c>
      <c r="Q18" s="95">
        <f t="shared" si="15"/>
        <v>2000</v>
      </c>
      <c r="R18" s="96"/>
    </row>
    <row r="19" spans="1:23" x14ac:dyDescent="0.3">
      <c r="A19" s="83" t="str">
        <f>IF(TRIM(H19)&lt;&gt;"",COUNTA(H$9:$H19)&amp;"","")</f>
        <v/>
      </c>
      <c r="B19" s="84"/>
      <c r="C19" s="84"/>
      <c r="D19" s="85"/>
      <c r="E19" s="97"/>
      <c r="F19" s="87"/>
      <c r="H19" s="88"/>
      <c r="I19" s="89" t="str">
        <f t="shared" ref="I19:I20" si="24">IF(F19=0,"",0)</f>
        <v/>
      </c>
      <c r="J19" s="90" t="str">
        <f t="shared" ref="J19:J20" si="25">IF(F19=0,"",F19+(F19*I19))</f>
        <v/>
      </c>
      <c r="K19" s="91" t="str">
        <f t="shared" ref="K19:K20" si="26">IF(F19=0,"",0)</f>
        <v/>
      </c>
      <c r="L19" s="92" t="str">
        <f t="shared" ref="L19:L20" si="27">IF(F19=0,"",K19*J19)</f>
        <v/>
      </c>
      <c r="M19" s="93" t="str">
        <f t="shared" ref="M19:M20" si="28">IF(F19=0,"",M$7)</f>
        <v/>
      </c>
      <c r="N19" s="94" t="str">
        <f t="shared" ref="N19:N20" si="29">IF(F19=0,"",0)</f>
        <v/>
      </c>
      <c r="O19" s="94" t="str">
        <f t="shared" ref="O19:O20" si="30">IF(F19=0,"",N19*J19)</f>
        <v/>
      </c>
      <c r="P19" s="92" t="str">
        <f t="shared" ref="P19:P20" si="31">IF(F19=0,"",O19*M19)</f>
        <v/>
      </c>
      <c r="Q19" s="95" t="str">
        <f t="shared" ref="Q19:Q20" si="32">IF(F19=0,"",L19+P19)</f>
        <v/>
      </c>
      <c r="R19" s="96"/>
    </row>
    <row r="20" spans="1:23" ht="15" thickBot="1" x14ac:dyDescent="0.35">
      <c r="A20" s="83" t="str">
        <f>IF(TRIM(H20)&lt;&gt;"",COUNTA(H$9:$H20)&amp;"","")</f>
        <v/>
      </c>
      <c r="B20" s="98"/>
      <c r="C20" s="98"/>
      <c r="D20" s="85"/>
      <c r="E20" s="99"/>
      <c r="F20" s="87"/>
      <c r="H20" s="88"/>
      <c r="I20" s="89" t="str">
        <f t="shared" si="24"/>
        <v/>
      </c>
      <c r="J20" s="90" t="str">
        <f t="shared" si="25"/>
        <v/>
      </c>
      <c r="K20" s="91" t="str">
        <f t="shared" si="26"/>
        <v/>
      </c>
      <c r="L20" s="92" t="str">
        <f t="shared" si="27"/>
        <v/>
      </c>
      <c r="M20" s="93" t="str">
        <f t="shared" si="28"/>
        <v/>
      </c>
      <c r="N20" s="94" t="str">
        <f t="shared" si="29"/>
        <v/>
      </c>
      <c r="O20" s="94" t="str">
        <f t="shared" si="30"/>
        <v/>
      </c>
      <c r="P20" s="92" t="str">
        <f t="shared" si="31"/>
        <v/>
      </c>
      <c r="Q20" s="95" t="str">
        <f t="shared" si="32"/>
        <v/>
      </c>
      <c r="R20" s="96"/>
    </row>
    <row r="21" spans="1:23" s="111" customFormat="1" ht="16.2" thickBot="1" x14ac:dyDescent="0.35">
      <c r="A21" s="83" t="str">
        <f>IF(TRIM(H21)&lt;&gt;"",COUNTA(H$10:$H20)&amp;"","")</f>
        <v/>
      </c>
      <c r="B21" s="100"/>
      <c r="C21" s="100"/>
      <c r="D21" s="101"/>
      <c r="E21" s="102"/>
      <c r="F21" s="103"/>
      <c r="H21" s="104"/>
      <c r="I21" s="105" t="s">
        <v>12</v>
      </c>
      <c r="J21" s="106"/>
      <c r="K21" s="107">
        <f>SUM(L$8:L$20)</f>
        <v>0</v>
      </c>
      <c r="L21" s="198" t="s">
        <v>13</v>
      </c>
      <c r="M21" s="199"/>
      <c r="N21" s="108">
        <f>SUM(P$8:P$20)</f>
        <v>19300</v>
      </c>
      <c r="O21" s="198" t="s">
        <v>42</v>
      </c>
      <c r="P21" s="199"/>
      <c r="Q21" s="109">
        <f>SUM(O$8:O$20)</f>
        <v>0</v>
      </c>
      <c r="R21" s="110">
        <f>SUM(Q$8:Q$20)</f>
        <v>19300</v>
      </c>
      <c r="S21" s="64"/>
      <c r="T21" s="64"/>
      <c r="U21" s="64"/>
      <c r="V21" s="64"/>
      <c r="W21" s="64"/>
    </row>
    <row r="22" spans="1:23" s="166" customFormat="1" ht="20.100000000000001" customHeight="1" x14ac:dyDescent="0.3">
      <c r="A22" s="164" t="str">
        <f>IF(TRIM(H22)&lt;&gt;"",COUNTA(H$10:$H22)&amp;"","")</f>
        <v/>
      </c>
      <c r="B22" s="165"/>
      <c r="C22" s="165"/>
      <c r="D22" s="166" t="s">
        <v>55</v>
      </c>
      <c r="E22" s="166" t="s">
        <v>65</v>
      </c>
      <c r="F22" s="167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8"/>
    </row>
    <row r="23" spans="1:23" s="113" customFormat="1" ht="19.2" customHeight="1" x14ac:dyDescent="0.3">
      <c r="A23" s="83" t="str">
        <f>IF(TRIM(H23)&lt;&gt;"",COUNTA(H$9:$H23)&amp;"","")</f>
        <v/>
      </c>
      <c r="B23" s="112"/>
      <c r="C23" s="112"/>
      <c r="D23" s="85" t="s">
        <v>66</v>
      </c>
      <c r="E23" s="160" t="s">
        <v>64</v>
      </c>
      <c r="F23" s="87"/>
      <c r="H23" s="88"/>
      <c r="I23" s="89" t="str">
        <f t="shared" ref="I23:I29" si="33">IF(F23=0,"",0)</f>
        <v/>
      </c>
      <c r="J23" s="90" t="str">
        <f t="shared" ref="J23:J29" si="34">IF(F23=0,"",F23+(F23*I23))</f>
        <v/>
      </c>
      <c r="K23" s="91" t="str">
        <f t="shared" ref="K23:K29" si="35">IF(F23=0,"",0)</f>
        <v/>
      </c>
      <c r="L23" s="92" t="str">
        <f t="shared" ref="L23:L29" si="36">IF(F23=0,"",K23*J23)</f>
        <v/>
      </c>
      <c r="M23" s="93" t="str">
        <f t="shared" ref="M23:M29" si="37">IF(F23=0,"",M$7)</f>
        <v/>
      </c>
      <c r="N23" s="94" t="str">
        <f t="shared" ref="N23" si="38">IF(F23=0,"",0)</f>
        <v/>
      </c>
      <c r="O23" s="94" t="str">
        <f t="shared" ref="O23:O29" si="39">IF(F23=0,"",N23*J23)</f>
        <v/>
      </c>
      <c r="P23" s="92" t="str">
        <f t="shared" ref="P23:P29" si="40">IF(F23=0,"",O23*M23)</f>
        <v/>
      </c>
      <c r="Q23" s="95" t="str">
        <f t="shared" ref="Q23:Q29" si="41">IF(F23=0,"",L23+P23)</f>
        <v/>
      </c>
      <c r="R23" s="96"/>
      <c r="S23" s="64"/>
      <c r="T23" s="64"/>
      <c r="U23" s="64"/>
      <c r="V23" s="64"/>
      <c r="W23" s="64"/>
    </row>
    <row r="24" spans="1:23" ht="18.899999999999999" customHeight="1" x14ac:dyDescent="0.3">
      <c r="A24" s="83" t="str">
        <f>IF(TRIM(H24)&lt;&gt;"",COUNTA(H$9:$H24)&amp;"","")</f>
        <v>11</v>
      </c>
      <c r="B24" s="84" t="s">
        <v>179</v>
      </c>
      <c r="C24" s="84"/>
      <c r="D24" s="85"/>
      <c r="E24" s="86" t="s">
        <v>178</v>
      </c>
      <c r="F24" s="87">
        <v>1365</v>
      </c>
      <c r="G24" s="64">
        <f>132*10.34</f>
        <v>1364.8799999999999</v>
      </c>
      <c r="H24" s="88" t="s">
        <v>135</v>
      </c>
      <c r="I24" s="89">
        <f t="shared" si="33"/>
        <v>0</v>
      </c>
      <c r="J24" s="90">
        <f t="shared" si="34"/>
        <v>1365</v>
      </c>
      <c r="K24" s="91">
        <f t="shared" si="35"/>
        <v>0</v>
      </c>
      <c r="L24" s="92">
        <f t="shared" si="36"/>
        <v>0</v>
      </c>
      <c r="M24" s="93">
        <f t="shared" si="37"/>
        <v>48.95</v>
      </c>
      <c r="N24" s="94">
        <v>6.9444444444444448E-2</v>
      </c>
      <c r="O24" s="94">
        <f t="shared" si="39"/>
        <v>94.791666666666671</v>
      </c>
      <c r="P24" s="92">
        <f t="shared" si="40"/>
        <v>4640.0520833333339</v>
      </c>
      <c r="Q24" s="95">
        <f t="shared" si="41"/>
        <v>4640.0520833333339</v>
      </c>
      <c r="R24" s="96"/>
    </row>
    <row r="25" spans="1:23" ht="18.899999999999999" customHeight="1" x14ac:dyDescent="0.3">
      <c r="A25" s="83" t="str">
        <f>IF(TRIM(H25)&lt;&gt;"",COUNTA(H$9:$H25)&amp;"","")</f>
        <v>12</v>
      </c>
      <c r="B25" s="84" t="s">
        <v>179</v>
      </c>
      <c r="C25" s="84"/>
      <c r="D25" s="85"/>
      <c r="E25" s="86" t="s">
        <v>180</v>
      </c>
      <c r="F25" s="87">
        <v>13</v>
      </c>
      <c r="H25" s="88" t="s">
        <v>181</v>
      </c>
      <c r="I25" s="89">
        <f t="shared" si="33"/>
        <v>0</v>
      </c>
      <c r="J25" s="90">
        <f t="shared" si="34"/>
        <v>13</v>
      </c>
      <c r="K25" s="91">
        <f t="shared" si="35"/>
        <v>0</v>
      </c>
      <c r="L25" s="92">
        <f t="shared" si="36"/>
        <v>0</v>
      </c>
      <c r="M25" s="93">
        <f t="shared" si="37"/>
        <v>48.95</v>
      </c>
      <c r="N25" s="94">
        <v>2.3611111111111112</v>
      </c>
      <c r="O25" s="94">
        <f t="shared" si="39"/>
        <v>30.694444444444446</v>
      </c>
      <c r="P25" s="92">
        <f t="shared" si="40"/>
        <v>1502.4930555555557</v>
      </c>
      <c r="Q25" s="95">
        <f t="shared" si="41"/>
        <v>1502.4930555555557</v>
      </c>
      <c r="R25" s="96"/>
    </row>
    <row r="26" spans="1:23" ht="18.899999999999999" customHeight="1" x14ac:dyDescent="0.3">
      <c r="A26" s="83" t="str">
        <f>IF(TRIM(H26)&lt;&gt;"",COUNTA(H$9:$H26)&amp;"","")</f>
        <v>13</v>
      </c>
      <c r="B26" s="84" t="s">
        <v>179</v>
      </c>
      <c r="C26" s="84"/>
      <c r="D26" s="85"/>
      <c r="E26" s="86" t="s">
        <v>182</v>
      </c>
      <c r="F26" s="87">
        <v>1590</v>
      </c>
      <c r="H26" s="88" t="s">
        <v>135</v>
      </c>
      <c r="I26" s="89">
        <f t="shared" si="33"/>
        <v>0</v>
      </c>
      <c r="J26" s="90">
        <f t="shared" si="34"/>
        <v>1590</v>
      </c>
      <c r="K26" s="91">
        <f t="shared" si="35"/>
        <v>0</v>
      </c>
      <c r="L26" s="92">
        <f t="shared" si="36"/>
        <v>0</v>
      </c>
      <c r="M26" s="93">
        <f t="shared" si="37"/>
        <v>48.95</v>
      </c>
      <c r="N26" s="94">
        <v>6.1111111111111116E-2</v>
      </c>
      <c r="O26" s="94">
        <f t="shared" si="39"/>
        <v>97.166666666666671</v>
      </c>
      <c r="P26" s="92">
        <f t="shared" si="40"/>
        <v>4756.3083333333334</v>
      </c>
      <c r="Q26" s="95">
        <f t="shared" si="41"/>
        <v>4756.3083333333334</v>
      </c>
      <c r="R26" s="96"/>
    </row>
    <row r="27" spans="1:23" ht="18.899999999999999" customHeight="1" x14ac:dyDescent="0.3">
      <c r="A27" s="83" t="str">
        <f>IF(TRIM(H27)&lt;&gt;"",COUNTA(H$9:$H27)&amp;"","")</f>
        <v>14</v>
      </c>
      <c r="B27" s="84" t="s">
        <v>184</v>
      </c>
      <c r="C27" s="84"/>
      <c r="D27" s="85"/>
      <c r="E27" s="86" t="s">
        <v>183</v>
      </c>
      <c r="F27" s="87">
        <v>1</v>
      </c>
      <c r="H27" s="88" t="s">
        <v>181</v>
      </c>
      <c r="I27" s="89">
        <f t="shared" si="33"/>
        <v>0</v>
      </c>
      <c r="J27" s="90">
        <f t="shared" si="34"/>
        <v>1</v>
      </c>
      <c r="K27" s="91">
        <f t="shared" si="35"/>
        <v>0</v>
      </c>
      <c r="L27" s="92">
        <f t="shared" si="36"/>
        <v>0</v>
      </c>
      <c r="M27" s="93">
        <f t="shared" si="37"/>
        <v>48.95</v>
      </c>
      <c r="N27" s="94">
        <v>1.3333333333333333</v>
      </c>
      <c r="O27" s="94">
        <f t="shared" si="39"/>
        <v>1.3333333333333333</v>
      </c>
      <c r="P27" s="92">
        <f t="shared" si="40"/>
        <v>65.266666666666666</v>
      </c>
      <c r="Q27" s="95">
        <f t="shared" si="41"/>
        <v>65.266666666666666</v>
      </c>
      <c r="R27" s="96"/>
    </row>
    <row r="28" spans="1:23" ht="18.899999999999999" customHeight="1" x14ac:dyDescent="0.3">
      <c r="A28" s="83" t="str">
        <f>IF(TRIM(H28)&lt;&gt;"",COUNTA(H$9:$H28)&amp;"","")</f>
        <v>15</v>
      </c>
      <c r="B28" s="84" t="s">
        <v>184</v>
      </c>
      <c r="C28" s="84"/>
      <c r="D28" s="85"/>
      <c r="E28" s="86" t="s">
        <v>187</v>
      </c>
      <c r="F28" s="87">
        <v>1</v>
      </c>
      <c r="H28" s="88" t="s">
        <v>185</v>
      </c>
      <c r="I28" s="89">
        <f t="shared" si="33"/>
        <v>0</v>
      </c>
      <c r="J28" s="90">
        <f t="shared" si="34"/>
        <v>1</v>
      </c>
      <c r="K28" s="91">
        <f t="shared" si="35"/>
        <v>0</v>
      </c>
      <c r="L28" s="92">
        <f t="shared" si="36"/>
        <v>0</v>
      </c>
      <c r="M28" s="93">
        <f t="shared" si="37"/>
        <v>48.95</v>
      </c>
      <c r="N28" s="94">
        <v>13.888888888888889</v>
      </c>
      <c r="O28" s="94">
        <f t="shared" si="39"/>
        <v>13.888888888888889</v>
      </c>
      <c r="P28" s="92">
        <f t="shared" si="40"/>
        <v>679.8611111111112</v>
      </c>
      <c r="Q28" s="95">
        <f t="shared" si="41"/>
        <v>679.8611111111112</v>
      </c>
      <c r="R28" s="96"/>
    </row>
    <row r="29" spans="1:23" ht="18.899999999999999" customHeight="1" x14ac:dyDescent="0.3">
      <c r="A29" s="83" t="str">
        <f>IF(TRIM(H29)&lt;&gt;"",COUNTA(H$9:$H29)&amp;"","")</f>
        <v>16</v>
      </c>
      <c r="B29" s="84" t="s">
        <v>184</v>
      </c>
      <c r="C29" s="84"/>
      <c r="D29" s="85"/>
      <c r="E29" s="86" t="s">
        <v>186</v>
      </c>
      <c r="F29" s="87">
        <v>1</v>
      </c>
      <c r="H29" s="88" t="s">
        <v>181</v>
      </c>
      <c r="I29" s="89">
        <f t="shared" si="33"/>
        <v>0</v>
      </c>
      <c r="J29" s="90">
        <f t="shared" si="34"/>
        <v>1</v>
      </c>
      <c r="K29" s="91">
        <f t="shared" si="35"/>
        <v>0</v>
      </c>
      <c r="L29" s="92">
        <f t="shared" si="36"/>
        <v>0</v>
      </c>
      <c r="M29" s="93">
        <f t="shared" si="37"/>
        <v>48.95</v>
      </c>
      <c r="N29" s="94">
        <v>1.5277777777777777</v>
      </c>
      <c r="O29" s="94">
        <f t="shared" si="39"/>
        <v>1.5277777777777777</v>
      </c>
      <c r="P29" s="92">
        <f t="shared" si="40"/>
        <v>74.784722222222229</v>
      </c>
      <c r="Q29" s="95">
        <f t="shared" si="41"/>
        <v>74.784722222222229</v>
      </c>
      <c r="R29" s="96"/>
    </row>
    <row r="30" spans="1:23" ht="18.899999999999999" customHeight="1" x14ac:dyDescent="0.3">
      <c r="A30" s="83" t="str">
        <f>IF(TRIM(H30)&lt;&gt;"",COUNTA(H$9:$H30)&amp;"","")</f>
        <v>17</v>
      </c>
      <c r="B30" s="84" t="s">
        <v>189</v>
      </c>
      <c r="C30" s="84"/>
      <c r="D30" s="85"/>
      <c r="E30" s="86" t="s">
        <v>188</v>
      </c>
      <c r="F30" s="87">
        <v>10</v>
      </c>
      <c r="H30" s="88" t="s">
        <v>135</v>
      </c>
      <c r="I30" s="89">
        <f t="shared" ref="I30:I37" si="42">IF(F30=0,"",0)</f>
        <v>0</v>
      </c>
      <c r="J30" s="90">
        <f t="shared" ref="J30:J37" si="43">IF(F30=0,"",F30+(F30*I30))</f>
        <v>10</v>
      </c>
      <c r="K30" s="91">
        <f t="shared" ref="K30:K37" si="44">IF(F30=0,"",0)</f>
        <v>0</v>
      </c>
      <c r="L30" s="92">
        <f t="shared" ref="L30:L37" si="45">IF(F30=0,"",K30*J30)</f>
        <v>0</v>
      </c>
      <c r="M30" s="93">
        <f t="shared" ref="M30:M37" si="46">IF(F30=0,"",M$7)</f>
        <v>48.95</v>
      </c>
      <c r="N30" s="94">
        <v>0.15277777777777779</v>
      </c>
      <c r="O30" s="94">
        <f t="shared" ref="O30:O37" si="47">IF(F30=0,"",N30*J30)</f>
        <v>1.5277777777777779</v>
      </c>
      <c r="P30" s="92">
        <f t="shared" ref="P30:P37" si="48">IF(F30=0,"",O30*M30)</f>
        <v>74.784722222222229</v>
      </c>
      <c r="Q30" s="95">
        <f t="shared" ref="Q30:Q37" si="49">IF(F30=0,"",L30+P30)</f>
        <v>74.784722222222229</v>
      </c>
      <c r="R30" s="96"/>
    </row>
    <row r="31" spans="1:23" ht="18.899999999999999" customHeight="1" x14ac:dyDescent="0.3">
      <c r="A31" s="83" t="str">
        <f>IF(TRIM(H31)&lt;&gt;"",COUNTA(H$9:$H31)&amp;"","")</f>
        <v>18</v>
      </c>
      <c r="B31" s="84" t="s">
        <v>189</v>
      </c>
      <c r="C31" s="84"/>
      <c r="D31" s="85"/>
      <c r="E31" s="86" t="s">
        <v>190</v>
      </c>
      <c r="F31" s="87">
        <v>14</v>
      </c>
      <c r="H31" s="88" t="s">
        <v>159</v>
      </c>
      <c r="I31" s="89">
        <f t="shared" si="42"/>
        <v>0</v>
      </c>
      <c r="J31" s="90">
        <f t="shared" si="43"/>
        <v>14</v>
      </c>
      <c r="K31" s="91">
        <f t="shared" si="44"/>
        <v>0</v>
      </c>
      <c r="L31" s="92">
        <f t="shared" si="45"/>
        <v>0</v>
      </c>
      <c r="M31" s="93">
        <f t="shared" si="46"/>
        <v>48.95</v>
      </c>
      <c r="N31" s="94">
        <v>0.77777777777777779</v>
      </c>
      <c r="O31" s="94">
        <f t="shared" si="47"/>
        <v>10.888888888888889</v>
      </c>
      <c r="P31" s="92">
        <f t="shared" si="48"/>
        <v>533.01111111111118</v>
      </c>
      <c r="Q31" s="95">
        <f t="shared" si="49"/>
        <v>533.01111111111118</v>
      </c>
      <c r="R31" s="96"/>
    </row>
    <row r="32" spans="1:23" ht="18.899999999999999" customHeight="1" x14ac:dyDescent="0.3">
      <c r="A32" s="83" t="str">
        <f>IF(TRIM(H32)&lt;&gt;"",COUNTA(H$9:$H32)&amp;"","")</f>
        <v>19</v>
      </c>
      <c r="B32" s="84" t="s">
        <v>189</v>
      </c>
      <c r="C32" s="84"/>
      <c r="D32" s="85"/>
      <c r="E32" s="86" t="s">
        <v>408</v>
      </c>
      <c r="F32" s="87">
        <v>1</v>
      </c>
      <c r="H32" s="88" t="s">
        <v>164</v>
      </c>
      <c r="I32" s="89">
        <f t="shared" si="42"/>
        <v>0</v>
      </c>
      <c r="J32" s="90">
        <f t="shared" si="43"/>
        <v>1</v>
      </c>
      <c r="K32" s="91">
        <f t="shared" si="44"/>
        <v>0</v>
      </c>
      <c r="L32" s="92">
        <f t="shared" si="45"/>
        <v>0</v>
      </c>
      <c r="M32" s="93">
        <f t="shared" si="46"/>
        <v>48.95</v>
      </c>
      <c r="N32" s="94">
        <v>6.25</v>
      </c>
      <c r="O32" s="94">
        <f t="shared" si="47"/>
        <v>6.25</v>
      </c>
      <c r="P32" s="92">
        <f t="shared" si="48"/>
        <v>305.9375</v>
      </c>
      <c r="Q32" s="95">
        <f t="shared" si="49"/>
        <v>305.9375</v>
      </c>
      <c r="R32" s="96"/>
    </row>
    <row r="33" spans="1:23" ht="18.899999999999999" customHeight="1" x14ac:dyDescent="0.3">
      <c r="A33" s="83" t="str">
        <f>IF(TRIM(H33)&lt;&gt;"",COUNTA(H$9:$H33)&amp;"","")</f>
        <v>20</v>
      </c>
      <c r="B33" s="84" t="s">
        <v>189</v>
      </c>
      <c r="C33" s="84"/>
      <c r="D33" s="85"/>
      <c r="E33" s="86" t="s">
        <v>191</v>
      </c>
      <c r="F33" s="87">
        <v>1</v>
      </c>
      <c r="H33" s="88" t="s">
        <v>181</v>
      </c>
      <c r="I33" s="89">
        <f t="shared" si="42"/>
        <v>0</v>
      </c>
      <c r="J33" s="90">
        <f t="shared" si="43"/>
        <v>1</v>
      </c>
      <c r="K33" s="91">
        <f t="shared" si="44"/>
        <v>0</v>
      </c>
      <c r="L33" s="92">
        <f t="shared" si="45"/>
        <v>0</v>
      </c>
      <c r="M33" s="93">
        <f t="shared" si="46"/>
        <v>48.95</v>
      </c>
      <c r="N33" s="94">
        <v>1.4444444444444444</v>
      </c>
      <c r="O33" s="94">
        <f t="shared" si="47"/>
        <v>1.4444444444444444</v>
      </c>
      <c r="P33" s="92">
        <f t="shared" si="48"/>
        <v>70.705555555555563</v>
      </c>
      <c r="Q33" s="95">
        <f t="shared" si="49"/>
        <v>70.705555555555563</v>
      </c>
      <c r="R33" s="96"/>
    </row>
    <row r="34" spans="1:23" ht="18.899999999999999" customHeight="1" x14ac:dyDescent="0.3">
      <c r="A34" s="83" t="str">
        <f>IF(TRIM(H34)&lt;&gt;"",COUNTA(H$9:$H34)&amp;"","")</f>
        <v>21</v>
      </c>
      <c r="B34" s="84" t="s">
        <v>189</v>
      </c>
      <c r="C34" s="84"/>
      <c r="D34" s="85"/>
      <c r="E34" s="86" t="s">
        <v>192</v>
      </c>
      <c r="F34" s="87">
        <v>1</v>
      </c>
      <c r="H34" s="88" t="s">
        <v>181</v>
      </c>
      <c r="I34" s="89">
        <f t="shared" si="42"/>
        <v>0</v>
      </c>
      <c r="J34" s="90">
        <f t="shared" si="43"/>
        <v>1</v>
      </c>
      <c r="K34" s="91">
        <f t="shared" si="44"/>
        <v>0</v>
      </c>
      <c r="L34" s="92">
        <f t="shared" si="45"/>
        <v>0</v>
      </c>
      <c r="M34" s="93">
        <f t="shared" si="46"/>
        <v>48.95</v>
      </c>
      <c r="N34" s="94">
        <v>3.0555555555555554</v>
      </c>
      <c r="O34" s="94">
        <f t="shared" si="47"/>
        <v>3.0555555555555554</v>
      </c>
      <c r="P34" s="92">
        <f t="shared" si="48"/>
        <v>149.56944444444446</v>
      </c>
      <c r="Q34" s="95">
        <f t="shared" si="49"/>
        <v>149.56944444444446</v>
      </c>
      <c r="R34" s="96"/>
    </row>
    <row r="35" spans="1:23" ht="18.899999999999999" customHeight="1" x14ac:dyDescent="0.3">
      <c r="A35" s="83" t="str">
        <f>IF(TRIM(H35)&lt;&gt;"",COUNTA(H$9:$H35)&amp;"","")</f>
        <v>22</v>
      </c>
      <c r="B35" s="84" t="s">
        <v>189</v>
      </c>
      <c r="C35" s="84"/>
      <c r="D35" s="85"/>
      <c r="E35" s="86" t="s">
        <v>193</v>
      </c>
      <c r="F35" s="87">
        <v>1</v>
      </c>
      <c r="H35" s="88" t="s">
        <v>164</v>
      </c>
      <c r="I35" s="89">
        <f t="shared" si="42"/>
        <v>0</v>
      </c>
      <c r="J35" s="90">
        <f t="shared" si="43"/>
        <v>1</v>
      </c>
      <c r="K35" s="91">
        <f t="shared" si="44"/>
        <v>0</v>
      </c>
      <c r="L35" s="92">
        <f t="shared" si="45"/>
        <v>0</v>
      </c>
      <c r="M35" s="93">
        <f t="shared" si="46"/>
        <v>48.95</v>
      </c>
      <c r="N35" s="94">
        <v>2.2222222222222223</v>
      </c>
      <c r="O35" s="94">
        <f t="shared" si="47"/>
        <v>2.2222222222222223</v>
      </c>
      <c r="P35" s="92">
        <f t="shared" si="48"/>
        <v>108.77777777777779</v>
      </c>
      <c r="Q35" s="95">
        <f t="shared" si="49"/>
        <v>108.77777777777779</v>
      </c>
      <c r="R35" s="96"/>
    </row>
    <row r="36" spans="1:23" ht="18.899999999999999" customHeight="1" x14ac:dyDescent="0.3">
      <c r="A36" s="83" t="str">
        <f>IF(TRIM(H36)&lt;&gt;"",COUNTA(H$9:$H36)&amp;"","")</f>
        <v>23</v>
      </c>
      <c r="B36" s="84" t="s">
        <v>189</v>
      </c>
      <c r="C36" s="84"/>
      <c r="D36" s="85"/>
      <c r="E36" s="86" t="s">
        <v>194</v>
      </c>
      <c r="F36" s="87">
        <v>2</v>
      </c>
      <c r="H36" s="88" t="s">
        <v>159</v>
      </c>
      <c r="I36" s="89">
        <f t="shared" si="42"/>
        <v>0</v>
      </c>
      <c r="J36" s="90">
        <f t="shared" si="43"/>
        <v>2</v>
      </c>
      <c r="K36" s="91">
        <f t="shared" si="44"/>
        <v>0</v>
      </c>
      <c r="L36" s="92">
        <f t="shared" si="45"/>
        <v>0</v>
      </c>
      <c r="M36" s="93">
        <f t="shared" si="46"/>
        <v>48.95</v>
      </c>
      <c r="N36" s="94">
        <v>0.77777777777777779</v>
      </c>
      <c r="O36" s="94">
        <f t="shared" si="47"/>
        <v>1.5555555555555556</v>
      </c>
      <c r="P36" s="92">
        <f t="shared" si="48"/>
        <v>76.144444444444446</v>
      </c>
      <c r="Q36" s="95">
        <f t="shared" si="49"/>
        <v>76.144444444444446</v>
      </c>
      <c r="R36" s="96"/>
    </row>
    <row r="37" spans="1:23" ht="15" thickBot="1" x14ac:dyDescent="0.35">
      <c r="A37" s="83" t="str">
        <f>IF(TRIM(H37)&lt;&gt;"",COUNTA(H$9:$H37)&amp;"","")</f>
        <v/>
      </c>
      <c r="B37" s="98"/>
      <c r="C37" s="98"/>
      <c r="D37" s="85"/>
      <c r="E37" s="99"/>
      <c r="F37" s="87"/>
      <c r="H37" s="88"/>
      <c r="I37" s="89" t="str">
        <f t="shared" si="42"/>
        <v/>
      </c>
      <c r="J37" s="90" t="str">
        <f t="shared" si="43"/>
        <v/>
      </c>
      <c r="K37" s="91" t="str">
        <f t="shared" si="44"/>
        <v/>
      </c>
      <c r="L37" s="92" t="str">
        <f t="shared" si="45"/>
        <v/>
      </c>
      <c r="M37" s="93" t="str">
        <f t="shared" si="46"/>
        <v/>
      </c>
      <c r="N37" s="94" t="str">
        <f t="shared" ref="N37" si="50">IF(F37=0,"",0)</f>
        <v/>
      </c>
      <c r="O37" s="94" t="str">
        <f t="shared" si="47"/>
        <v/>
      </c>
      <c r="P37" s="92" t="str">
        <f t="shared" si="48"/>
        <v/>
      </c>
      <c r="Q37" s="95" t="str">
        <f t="shared" si="49"/>
        <v/>
      </c>
      <c r="R37" s="96"/>
    </row>
    <row r="38" spans="1:23" s="111" customFormat="1" ht="16.2" thickBot="1" x14ac:dyDescent="0.35">
      <c r="A38" s="83" t="str">
        <f>IF(TRIM(H38)&lt;&gt;"",COUNTA(H$9:$H38)&amp;"","")</f>
        <v/>
      </c>
      <c r="B38" s="100"/>
      <c r="C38" s="100"/>
      <c r="D38" s="101"/>
      <c r="E38" s="102"/>
      <c r="F38" s="103"/>
      <c r="H38" s="104"/>
      <c r="I38" s="105" t="s">
        <v>12</v>
      </c>
      <c r="J38" s="106"/>
      <c r="K38" s="107">
        <f>SUM(L$22:L$37)</f>
        <v>0</v>
      </c>
      <c r="L38" s="198" t="s">
        <v>13</v>
      </c>
      <c r="M38" s="199"/>
      <c r="N38" s="108">
        <f>SUM(P$22:P$37)</f>
        <v>13037.69652777778</v>
      </c>
      <c r="O38" s="198" t="s">
        <v>42</v>
      </c>
      <c r="P38" s="199"/>
      <c r="Q38" s="109">
        <f>SUM(O$22:O$37)</f>
        <v>266.34722222222223</v>
      </c>
      <c r="R38" s="110">
        <f>SUM(Q$22:Q$37)</f>
        <v>13037.69652777778</v>
      </c>
      <c r="S38" s="64"/>
      <c r="T38" s="64"/>
      <c r="U38" s="64"/>
      <c r="V38" s="64"/>
      <c r="W38" s="64"/>
    </row>
    <row r="39" spans="1:23" s="166" customFormat="1" ht="20.100000000000001" customHeight="1" x14ac:dyDescent="0.3">
      <c r="A39" s="164" t="str">
        <f>IF(TRIM(H39)&lt;&gt;"",COUNTA(H$9:$H39)&amp;"","")</f>
        <v/>
      </c>
      <c r="B39" s="165"/>
      <c r="C39" s="165"/>
      <c r="D39" s="166">
        <v>50000</v>
      </c>
      <c r="E39" s="166" t="s">
        <v>67</v>
      </c>
      <c r="F39" s="167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8"/>
    </row>
    <row r="40" spans="1:23" s="113" customFormat="1" ht="19.2" customHeight="1" x14ac:dyDescent="0.3">
      <c r="A40" s="83" t="str">
        <f>IF(TRIM(H40)&lt;&gt;"",COUNTA(H$9:$H40)&amp;"","")</f>
        <v/>
      </c>
      <c r="B40" s="112"/>
      <c r="C40" s="112"/>
      <c r="D40" s="85" t="s">
        <v>69</v>
      </c>
      <c r="E40" s="160" t="s">
        <v>68</v>
      </c>
      <c r="F40" s="87"/>
      <c r="H40" s="88"/>
      <c r="I40" s="89" t="str">
        <f t="shared" ref="I40:I42" si="51">IF(F40=0,"",0)</f>
        <v/>
      </c>
      <c r="J40" s="90" t="str">
        <f t="shared" ref="J40:J42" si="52">IF(F40=0,"",F40+(F40*I40))</f>
        <v/>
      </c>
      <c r="K40" s="91" t="str">
        <f t="shared" ref="K40:K42" si="53">IF(F40=0,"",0)</f>
        <v/>
      </c>
      <c r="L40" s="92" t="str">
        <f t="shared" ref="L40:L42" si="54">IF(F40=0,"",K40*J40)</f>
        <v/>
      </c>
      <c r="M40" s="93" t="str">
        <f t="shared" ref="M40:M42" si="55">IF(F40=0,"",M$7)</f>
        <v/>
      </c>
      <c r="N40" s="94" t="str">
        <f t="shared" ref="N40:N42" si="56">IF(F40=0,"",0)</f>
        <v/>
      </c>
      <c r="O40" s="94" t="str">
        <f t="shared" ref="O40:O42" si="57">IF(F40=0,"",N40*J40)</f>
        <v/>
      </c>
      <c r="P40" s="92" t="str">
        <f t="shared" ref="P40:P42" si="58">IF(F40=0,"",O40*M40)</f>
        <v/>
      </c>
      <c r="Q40" s="95" t="str">
        <f t="shared" ref="Q40:Q42" si="59">IF(F40=0,"",L40+P40)</f>
        <v/>
      </c>
      <c r="R40" s="96"/>
      <c r="S40" s="64"/>
      <c r="T40" s="64"/>
      <c r="U40" s="64"/>
      <c r="V40" s="64"/>
      <c r="W40" s="64"/>
    </row>
    <row r="41" spans="1:23" ht="27.6" x14ac:dyDescent="0.3">
      <c r="A41" s="83" t="str">
        <f>IF(TRIM(H41)&lt;&gt;"",COUNTA(H$9:$H41)&amp;"","")</f>
        <v>24</v>
      </c>
      <c r="B41" s="84" t="s">
        <v>244</v>
      </c>
      <c r="C41" s="150" t="s">
        <v>248</v>
      </c>
      <c r="D41" s="150" t="s">
        <v>248</v>
      </c>
      <c r="E41" s="97" t="s">
        <v>253</v>
      </c>
      <c r="F41" s="87">
        <v>1</v>
      </c>
      <c r="H41" s="88" t="s">
        <v>181</v>
      </c>
      <c r="I41" s="89">
        <f t="shared" si="51"/>
        <v>0</v>
      </c>
      <c r="J41" s="90">
        <f t="shared" si="52"/>
        <v>1</v>
      </c>
      <c r="K41" s="91">
        <v>807.5</v>
      </c>
      <c r="L41" s="92">
        <f t="shared" si="54"/>
        <v>807.5</v>
      </c>
      <c r="M41" s="93">
        <f t="shared" si="55"/>
        <v>48.95</v>
      </c>
      <c r="N41" s="94">
        <v>3.9583333333333335</v>
      </c>
      <c r="O41" s="94">
        <f t="shared" si="57"/>
        <v>3.9583333333333335</v>
      </c>
      <c r="P41" s="92">
        <f t="shared" si="58"/>
        <v>193.76041666666669</v>
      </c>
      <c r="Q41" s="95">
        <f t="shared" si="59"/>
        <v>1001.2604166666667</v>
      </c>
      <c r="R41" s="96"/>
    </row>
    <row r="42" spans="1:23" s="111" customFormat="1" ht="16.2" thickBot="1" x14ac:dyDescent="0.35">
      <c r="A42" s="83" t="str">
        <f>IF(TRIM(H42)&lt;&gt;"",COUNTA(H$9:$H42)&amp;"","")</f>
        <v/>
      </c>
      <c r="B42" s="100"/>
      <c r="C42" s="100"/>
      <c r="D42" s="101"/>
      <c r="E42" s="102"/>
      <c r="F42" s="87"/>
      <c r="H42" s="88"/>
      <c r="I42" s="89" t="str">
        <f t="shared" si="51"/>
        <v/>
      </c>
      <c r="J42" s="90" t="str">
        <f t="shared" si="52"/>
        <v/>
      </c>
      <c r="K42" s="91" t="str">
        <f t="shared" si="53"/>
        <v/>
      </c>
      <c r="L42" s="92" t="str">
        <f t="shared" si="54"/>
        <v/>
      </c>
      <c r="M42" s="93" t="str">
        <f t="shared" si="55"/>
        <v/>
      </c>
      <c r="N42" s="94" t="str">
        <f t="shared" si="56"/>
        <v/>
      </c>
      <c r="O42" s="94" t="str">
        <f t="shared" si="57"/>
        <v/>
      </c>
      <c r="P42" s="92" t="str">
        <f t="shared" si="58"/>
        <v/>
      </c>
      <c r="Q42" s="95" t="str">
        <f t="shared" si="59"/>
        <v/>
      </c>
      <c r="R42" s="96"/>
      <c r="S42" s="64"/>
      <c r="T42" s="64"/>
      <c r="U42" s="64"/>
      <c r="V42" s="64"/>
      <c r="W42" s="64"/>
    </row>
    <row r="43" spans="1:23" s="111" customFormat="1" ht="16.2" thickBot="1" x14ac:dyDescent="0.35">
      <c r="A43" s="83" t="str">
        <f>IF(TRIM(H43)&lt;&gt;"",COUNTA(H$9:$H43)&amp;"","")</f>
        <v/>
      </c>
      <c r="B43" s="100"/>
      <c r="C43" s="100"/>
      <c r="D43" s="101"/>
      <c r="E43" s="102"/>
      <c r="F43" s="103"/>
      <c r="H43" s="104"/>
      <c r="I43" s="105" t="s">
        <v>12</v>
      </c>
      <c r="J43" s="106"/>
      <c r="K43" s="107">
        <f>SUM(L$39:L$42)</f>
        <v>807.5</v>
      </c>
      <c r="L43" s="198" t="s">
        <v>13</v>
      </c>
      <c r="M43" s="199"/>
      <c r="N43" s="107">
        <f>SUM(P$39:P$42)</f>
        <v>193.76041666666669</v>
      </c>
      <c r="O43" s="198" t="s">
        <v>42</v>
      </c>
      <c r="P43" s="199"/>
      <c r="Q43" s="109">
        <f>SUM(O$39:O$42)</f>
        <v>3.9583333333333335</v>
      </c>
      <c r="R43" s="110">
        <f>SUM(Q$39:Q$42)</f>
        <v>1001.2604166666667</v>
      </c>
      <c r="S43" s="64"/>
      <c r="T43" s="64"/>
      <c r="U43" s="64"/>
      <c r="V43" s="64"/>
      <c r="W43" s="64"/>
    </row>
    <row r="44" spans="1:23" s="166" customFormat="1" ht="20.100000000000001" customHeight="1" x14ac:dyDescent="0.3">
      <c r="A44" s="164" t="str">
        <f>IF(TRIM(H44)&lt;&gt;"",COUNTA(H$9:$H44)&amp;"","")</f>
        <v/>
      </c>
      <c r="B44" s="165"/>
      <c r="C44" s="165"/>
      <c r="D44" s="166">
        <v>60000</v>
      </c>
      <c r="E44" s="166" t="s">
        <v>107</v>
      </c>
      <c r="F44" s="167"/>
      <c r="H44" s="165"/>
      <c r="I44" s="165" t="str">
        <f t="shared" ref="I44:I48" si="60">IF(F44=0,"",0)</f>
        <v/>
      </c>
      <c r="J44" s="165" t="str">
        <f t="shared" ref="J44:J48" si="61">IF(F44=0,"",F44+(F44*I44))</f>
        <v/>
      </c>
      <c r="K44" s="165" t="str">
        <f t="shared" ref="K44:K48" si="62">IF(F44=0,"",0)</f>
        <v/>
      </c>
      <c r="L44" s="165" t="str">
        <f t="shared" ref="L44:L48" si="63">IF(F44=0,"",K44*J44)</f>
        <v/>
      </c>
      <c r="M44" s="165" t="str">
        <f t="shared" ref="M44:M48" si="64">IF(F44=0,"",M$7)</f>
        <v/>
      </c>
      <c r="N44" s="165" t="str">
        <f t="shared" ref="N44:N48" si="65">IF(F44=0,"",0)</f>
        <v/>
      </c>
      <c r="O44" s="165" t="str">
        <f t="shared" ref="O44:O48" si="66">IF(F44=0,"",N44*J44)</f>
        <v/>
      </c>
      <c r="P44" s="165" t="str">
        <f t="shared" ref="P44:P48" si="67">IF(F44=0,"",O44*M44)</f>
        <v/>
      </c>
      <c r="Q44" s="165" t="str">
        <f t="shared" ref="Q44:Q48" si="68">IF(F44=0,"",L44+P44)</f>
        <v/>
      </c>
      <c r="R44" s="168"/>
    </row>
    <row r="45" spans="1:23" s="113" customFormat="1" ht="19.2" customHeight="1" x14ac:dyDescent="0.3">
      <c r="A45" s="83" t="str">
        <f>IF(TRIM(H45)&lt;&gt;"",COUNTA(H$9:$H45)&amp;"","")</f>
        <v/>
      </c>
      <c r="B45" s="112"/>
      <c r="C45" s="112"/>
      <c r="D45" s="85" t="s">
        <v>71</v>
      </c>
      <c r="E45" s="160" t="s">
        <v>70</v>
      </c>
      <c r="F45" s="87"/>
      <c r="H45" s="88"/>
      <c r="I45" s="89" t="str">
        <f t="shared" si="60"/>
        <v/>
      </c>
      <c r="J45" s="90" t="str">
        <f t="shared" si="61"/>
        <v/>
      </c>
      <c r="K45" s="91" t="str">
        <f t="shared" si="62"/>
        <v/>
      </c>
      <c r="L45" s="92" t="str">
        <f t="shared" si="63"/>
        <v/>
      </c>
      <c r="M45" s="93" t="str">
        <f t="shared" si="64"/>
        <v/>
      </c>
      <c r="N45" s="94" t="str">
        <f t="shared" si="65"/>
        <v/>
      </c>
      <c r="O45" s="94" t="str">
        <f t="shared" si="66"/>
        <v/>
      </c>
      <c r="P45" s="92" t="str">
        <f t="shared" si="67"/>
        <v/>
      </c>
      <c r="Q45" s="95" t="str">
        <f t="shared" si="68"/>
        <v/>
      </c>
      <c r="R45" s="96"/>
      <c r="S45" s="64"/>
      <c r="T45" s="64"/>
      <c r="U45" s="64"/>
      <c r="V45" s="64"/>
      <c r="W45" s="64"/>
    </row>
    <row r="46" spans="1:23" ht="18.899999999999999" customHeight="1" x14ac:dyDescent="0.3">
      <c r="A46" s="83" t="str">
        <f>IF(TRIM(H46)&lt;&gt;"",COUNTA(H$9:$H46)&amp;"","")</f>
        <v>25</v>
      </c>
      <c r="B46" s="84" t="s">
        <v>263</v>
      </c>
      <c r="C46" s="84"/>
      <c r="D46" s="85"/>
      <c r="E46" s="86" t="s">
        <v>266</v>
      </c>
      <c r="F46" s="87">
        <v>1</v>
      </c>
      <c r="H46" s="88" t="s">
        <v>181</v>
      </c>
      <c r="I46" s="89">
        <f t="shared" si="60"/>
        <v>0</v>
      </c>
      <c r="J46" s="90">
        <f t="shared" si="61"/>
        <v>1</v>
      </c>
      <c r="K46" s="91">
        <v>94.5</v>
      </c>
      <c r="L46" s="92">
        <f t="shared" si="63"/>
        <v>94.5</v>
      </c>
      <c r="M46" s="93">
        <f t="shared" si="64"/>
        <v>48.95</v>
      </c>
      <c r="N46" s="94">
        <v>1.125</v>
      </c>
      <c r="O46" s="94">
        <f t="shared" si="66"/>
        <v>1.125</v>
      </c>
      <c r="P46" s="92">
        <f t="shared" si="67"/>
        <v>55.068750000000001</v>
      </c>
      <c r="Q46" s="95">
        <f t="shared" si="68"/>
        <v>149.56874999999999</v>
      </c>
      <c r="R46" s="96"/>
    </row>
    <row r="47" spans="1:23" ht="18.899999999999999" customHeight="1" x14ac:dyDescent="0.3">
      <c r="A47" s="83" t="str">
        <f>IF(TRIM(H47)&lt;&gt;"",COUNTA(H$9:$H47)&amp;"","")</f>
        <v>26</v>
      </c>
      <c r="B47" s="84"/>
      <c r="C47" s="84"/>
      <c r="D47" s="85"/>
      <c r="E47" s="86" t="s">
        <v>400</v>
      </c>
      <c r="F47" s="87">
        <v>1</v>
      </c>
      <c r="H47" s="88" t="s">
        <v>164</v>
      </c>
      <c r="I47" s="89">
        <f t="shared" si="60"/>
        <v>0</v>
      </c>
      <c r="J47" s="90">
        <f t="shared" si="61"/>
        <v>1</v>
      </c>
      <c r="K47" s="91">
        <v>140</v>
      </c>
      <c r="L47" s="92">
        <f t="shared" si="63"/>
        <v>140</v>
      </c>
      <c r="M47" s="93">
        <f t="shared" si="64"/>
        <v>48.95</v>
      </c>
      <c r="N47" s="94">
        <v>1.6666666666666667</v>
      </c>
      <c r="O47" s="94">
        <f t="shared" si="66"/>
        <v>1.6666666666666667</v>
      </c>
      <c r="P47" s="92">
        <f t="shared" si="67"/>
        <v>81.583333333333343</v>
      </c>
      <c r="Q47" s="95">
        <f t="shared" si="68"/>
        <v>221.58333333333334</v>
      </c>
      <c r="R47" s="96"/>
    </row>
    <row r="48" spans="1:23" ht="15" thickBot="1" x14ac:dyDescent="0.35">
      <c r="A48" s="83" t="str">
        <f>IF(TRIM(H48)&lt;&gt;"",COUNTA(H$9:$H48)&amp;"","")</f>
        <v/>
      </c>
      <c r="B48" s="98"/>
      <c r="C48" s="98"/>
      <c r="D48" s="85"/>
      <c r="E48" s="99"/>
      <c r="F48" s="87"/>
      <c r="H48" s="88"/>
      <c r="I48" s="89" t="str">
        <f t="shared" si="60"/>
        <v/>
      </c>
      <c r="J48" s="90" t="str">
        <f t="shared" si="61"/>
        <v/>
      </c>
      <c r="K48" s="91" t="str">
        <f t="shared" si="62"/>
        <v/>
      </c>
      <c r="L48" s="92" t="str">
        <f t="shared" si="63"/>
        <v/>
      </c>
      <c r="M48" s="93" t="str">
        <f t="shared" si="64"/>
        <v/>
      </c>
      <c r="N48" s="94" t="str">
        <f t="shared" si="65"/>
        <v/>
      </c>
      <c r="O48" s="94" t="str">
        <f t="shared" si="66"/>
        <v/>
      </c>
      <c r="P48" s="92" t="str">
        <f t="shared" si="67"/>
        <v/>
      </c>
      <c r="Q48" s="95" t="str">
        <f t="shared" si="68"/>
        <v/>
      </c>
      <c r="R48" s="96"/>
    </row>
    <row r="49" spans="1:23" s="111" customFormat="1" ht="16.2" thickBot="1" x14ac:dyDescent="0.35">
      <c r="A49" s="83" t="str">
        <f>IF(TRIM(H49)&lt;&gt;"",COUNTA(H$9:$H49)&amp;"","")</f>
        <v/>
      </c>
      <c r="B49" s="100"/>
      <c r="C49" s="100"/>
      <c r="D49" s="101"/>
      <c r="E49" s="102"/>
      <c r="F49" s="103"/>
      <c r="H49" s="104"/>
      <c r="I49" s="105" t="s">
        <v>12</v>
      </c>
      <c r="J49" s="106"/>
      <c r="K49" s="107">
        <f>SUM(L$44:L$48)</f>
        <v>234.5</v>
      </c>
      <c r="L49" s="198" t="s">
        <v>13</v>
      </c>
      <c r="M49" s="199"/>
      <c r="N49" s="108">
        <f>SUM(P$44:P$48)</f>
        <v>136.65208333333334</v>
      </c>
      <c r="O49" s="198" t="s">
        <v>42</v>
      </c>
      <c r="P49" s="199"/>
      <c r="Q49" s="109">
        <f>SUM(O$44:O$48)</f>
        <v>2.791666666666667</v>
      </c>
      <c r="R49" s="110">
        <f>SUM(Q$44:Q$48)</f>
        <v>371.15208333333334</v>
      </c>
      <c r="S49" s="64"/>
      <c r="T49" s="64"/>
      <c r="U49" s="64"/>
      <c r="V49" s="64"/>
      <c r="W49" s="64"/>
    </row>
    <row r="50" spans="1:23" s="166" customFormat="1" ht="19.2" customHeight="1" x14ac:dyDescent="0.3">
      <c r="A50" s="164" t="str">
        <f>IF(TRIM(H50)&lt;&gt;"",COUNTA(H$9:$H50)&amp;"","")</f>
        <v/>
      </c>
      <c r="B50" s="165"/>
      <c r="C50" s="165"/>
      <c r="D50" s="166">
        <v>70000</v>
      </c>
      <c r="E50" s="166" t="s">
        <v>108</v>
      </c>
      <c r="F50" s="167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8"/>
    </row>
    <row r="51" spans="1:23" s="113" customFormat="1" ht="19.2" customHeight="1" x14ac:dyDescent="0.3">
      <c r="A51" s="83" t="str">
        <f>IF(TRIM(H51)&lt;&gt;"",COUNTA(H$9:$H51)&amp;"","")</f>
        <v/>
      </c>
      <c r="B51" s="112"/>
      <c r="C51" s="112"/>
      <c r="D51" s="85" t="s">
        <v>73</v>
      </c>
      <c r="E51" s="160" t="s">
        <v>72</v>
      </c>
      <c r="F51" s="87"/>
      <c r="H51" s="88"/>
      <c r="I51" s="89" t="str">
        <f t="shared" ref="I51:I55" si="69">IF(F51=0,"",0)</f>
        <v/>
      </c>
      <c r="J51" s="90" t="str">
        <f t="shared" ref="J51:J55" si="70">IF(F51=0,"",F51+(F51*I51))</f>
        <v/>
      </c>
      <c r="K51" s="91" t="str">
        <f t="shared" ref="K51:K55" si="71">IF(F51=0,"",0)</f>
        <v/>
      </c>
      <c r="L51" s="92" t="str">
        <f t="shared" ref="L51:L55" si="72">IF(F51=0,"",K51*J51)</f>
        <v/>
      </c>
      <c r="M51" s="93" t="str">
        <f t="shared" ref="M51:M55" si="73">IF(F51=0,"",M$7)</f>
        <v/>
      </c>
      <c r="N51" s="94" t="str">
        <f t="shared" ref="N51:N55" si="74">IF(F51=0,"",0)</f>
        <v/>
      </c>
      <c r="O51" s="94" t="str">
        <f t="shared" ref="O51:O55" si="75">IF(F51=0,"",N51*J51)</f>
        <v/>
      </c>
      <c r="P51" s="92" t="str">
        <f t="shared" ref="P51:P55" si="76">IF(F51=0,"",O51*M51)</f>
        <v/>
      </c>
      <c r="Q51" s="95" t="str">
        <f t="shared" ref="Q51:Q55" si="77">IF(F51=0,"",L51+P51)</f>
        <v/>
      </c>
      <c r="R51" s="96"/>
      <c r="S51" s="64"/>
      <c r="T51" s="64"/>
      <c r="U51" s="64"/>
      <c r="V51" s="64"/>
      <c r="W51" s="64"/>
    </row>
    <row r="52" spans="1:23" ht="18.899999999999999" customHeight="1" x14ac:dyDescent="0.3">
      <c r="A52" s="83" t="str">
        <f>IF(TRIM(H52)&lt;&gt;"",COUNTA(H$9:$H52)&amp;"","")</f>
        <v>27</v>
      </c>
      <c r="B52" s="84"/>
      <c r="C52" s="84"/>
      <c r="D52" s="85"/>
      <c r="E52" s="86" t="s">
        <v>399</v>
      </c>
      <c r="F52" s="87">
        <v>1</v>
      </c>
      <c r="H52" s="88" t="s">
        <v>164</v>
      </c>
      <c r="I52" s="89">
        <f t="shared" si="69"/>
        <v>0</v>
      </c>
      <c r="J52" s="90">
        <f t="shared" si="70"/>
        <v>1</v>
      </c>
      <c r="K52" s="91">
        <v>45</v>
      </c>
      <c r="L52" s="92">
        <f t="shared" si="72"/>
        <v>45</v>
      </c>
      <c r="M52" s="93">
        <f t="shared" si="73"/>
        <v>48.95</v>
      </c>
      <c r="N52" s="94">
        <v>0.83333333333333337</v>
      </c>
      <c r="O52" s="94">
        <f t="shared" si="75"/>
        <v>0.83333333333333337</v>
      </c>
      <c r="P52" s="92">
        <f t="shared" si="76"/>
        <v>40.791666666666671</v>
      </c>
      <c r="Q52" s="95">
        <f t="shared" si="77"/>
        <v>85.791666666666671</v>
      </c>
      <c r="R52" s="96"/>
    </row>
    <row r="53" spans="1:23" s="113" customFormat="1" ht="19.2" customHeight="1" x14ac:dyDescent="0.3">
      <c r="A53" s="83" t="str">
        <f>IF(TRIM(H53)&lt;&gt;"",COUNTA(H$9:$H53)&amp;"","")</f>
        <v/>
      </c>
      <c r="B53" s="112"/>
      <c r="C53" s="112"/>
      <c r="D53" s="85" t="s">
        <v>75</v>
      </c>
      <c r="E53" s="160" t="s">
        <v>74</v>
      </c>
      <c r="F53" s="87"/>
      <c r="H53" s="88"/>
      <c r="I53" s="89" t="str">
        <f t="shared" si="69"/>
        <v/>
      </c>
      <c r="J53" s="90" t="str">
        <f t="shared" si="70"/>
        <v/>
      </c>
      <c r="K53" s="91" t="s">
        <v>407</v>
      </c>
      <c r="L53" s="92" t="str">
        <f t="shared" si="72"/>
        <v/>
      </c>
      <c r="M53" s="93" t="str">
        <f t="shared" si="73"/>
        <v/>
      </c>
      <c r="N53" s="94" t="s">
        <v>407</v>
      </c>
      <c r="O53" s="94" t="str">
        <f t="shared" si="75"/>
        <v/>
      </c>
      <c r="P53" s="92" t="str">
        <f t="shared" si="76"/>
        <v/>
      </c>
      <c r="Q53" s="95" t="str">
        <f t="shared" si="77"/>
        <v/>
      </c>
      <c r="R53" s="96"/>
      <c r="S53" s="64"/>
      <c r="T53" s="64"/>
      <c r="U53" s="64"/>
      <c r="V53" s="64"/>
      <c r="W53" s="64"/>
    </row>
    <row r="54" spans="1:23" ht="18.899999999999999" customHeight="1" x14ac:dyDescent="0.3">
      <c r="A54" s="83" t="str">
        <f>IF(TRIM(H54)&lt;&gt;"",COUNTA(H$9:$H54)&amp;"","")</f>
        <v>28</v>
      </c>
      <c r="B54" s="84"/>
      <c r="C54" s="84"/>
      <c r="D54" s="85"/>
      <c r="E54" s="86" t="s">
        <v>398</v>
      </c>
      <c r="F54" s="87">
        <v>1</v>
      </c>
      <c r="H54" s="88" t="s">
        <v>164</v>
      </c>
      <c r="I54" s="89">
        <f t="shared" si="69"/>
        <v>0</v>
      </c>
      <c r="J54" s="90">
        <f t="shared" si="70"/>
        <v>1</v>
      </c>
      <c r="K54" s="91">
        <v>45</v>
      </c>
      <c r="L54" s="92">
        <f t="shared" si="72"/>
        <v>45</v>
      </c>
      <c r="M54" s="93">
        <f t="shared" si="73"/>
        <v>48.95</v>
      </c>
      <c r="N54" s="94">
        <v>0.83333333333333337</v>
      </c>
      <c r="O54" s="94">
        <f t="shared" si="75"/>
        <v>0.83333333333333337</v>
      </c>
      <c r="P54" s="92">
        <f t="shared" si="76"/>
        <v>40.791666666666671</v>
      </c>
      <c r="Q54" s="95">
        <f t="shared" si="77"/>
        <v>85.791666666666671</v>
      </c>
      <c r="R54" s="96"/>
    </row>
    <row r="55" spans="1:23" ht="15" thickBot="1" x14ac:dyDescent="0.35">
      <c r="A55" s="83" t="str">
        <f>IF(TRIM(H55)&lt;&gt;"",COUNTA(H$9:$H55)&amp;"","")</f>
        <v/>
      </c>
      <c r="B55" s="98"/>
      <c r="C55" s="98"/>
      <c r="D55" s="85"/>
      <c r="E55" s="99"/>
      <c r="F55" s="87"/>
      <c r="H55" s="88"/>
      <c r="I55" s="89" t="str">
        <f t="shared" si="69"/>
        <v/>
      </c>
      <c r="J55" s="90" t="str">
        <f t="shared" si="70"/>
        <v/>
      </c>
      <c r="K55" s="91" t="str">
        <f t="shared" si="71"/>
        <v/>
      </c>
      <c r="L55" s="92" t="str">
        <f t="shared" si="72"/>
        <v/>
      </c>
      <c r="M55" s="93" t="str">
        <f t="shared" si="73"/>
        <v/>
      </c>
      <c r="N55" s="94" t="str">
        <f t="shared" si="74"/>
        <v/>
      </c>
      <c r="O55" s="94" t="str">
        <f t="shared" si="75"/>
        <v/>
      </c>
      <c r="P55" s="92" t="str">
        <f t="shared" si="76"/>
        <v/>
      </c>
      <c r="Q55" s="95" t="str">
        <f t="shared" si="77"/>
        <v/>
      </c>
      <c r="R55" s="96"/>
    </row>
    <row r="56" spans="1:23" s="111" customFormat="1" ht="16.2" thickBot="1" x14ac:dyDescent="0.35">
      <c r="A56" s="83" t="str">
        <f>IF(TRIM(H56)&lt;&gt;"",COUNTA(H$9:$H56)&amp;"","")</f>
        <v/>
      </c>
      <c r="B56" s="100"/>
      <c r="C56" s="100"/>
      <c r="D56" s="101"/>
      <c r="E56" s="102"/>
      <c r="F56" s="103"/>
      <c r="H56" s="104"/>
      <c r="I56" s="105" t="s">
        <v>12</v>
      </c>
      <c r="J56" s="106"/>
      <c r="K56" s="107">
        <f>SUM(L$50:L$55)</f>
        <v>90</v>
      </c>
      <c r="L56" s="198" t="s">
        <v>13</v>
      </c>
      <c r="M56" s="199"/>
      <c r="N56" s="108">
        <f>SUM(P$50:P$55)</f>
        <v>81.583333333333343</v>
      </c>
      <c r="O56" s="198" t="s">
        <v>42</v>
      </c>
      <c r="P56" s="199"/>
      <c r="Q56" s="109">
        <f>SUM(O$50:O$55)</f>
        <v>1.6666666666666667</v>
      </c>
      <c r="R56" s="110">
        <f>SUM(Q$50:Q$55)</f>
        <v>171.58333333333334</v>
      </c>
      <c r="S56" s="64"/>
      <c r="T56" s="64"/>
      <c r="U56" s="64"/>
      <c r="V56" s="64"/>
      <c r="W56" s="64"/>
    </row>
    <row r="57" spans="1:23" s="166" customFormat="1" ht="20.100000000000001" customHeight="1" x14ac:dyDescent="0.3">
      <c r="A57" s="164" t="str">
        <f>IF(TRIM(H57)&lt;&gt;"",COUNTA(H$9:$H57)&amp;"","")</f>
        <v/>
      </c>
      <c r="B57" s="165"/>
      <c r="C57" s="165"/>
      <c r="D57" s="166" t="s">
        <v>46</v>
      </c>
      <c r="E57" s="166" t="s">
        <v>76</v>
      </c>
      <c r="F57" s="167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8"/>
    </row>
    <row r="58" spans="1:23" s="113" customFormat="1" ht="19.2" customHeight="1" x14ac:dyDescent="0.3">
      <c r="A58" s="83" t="str">
        <f>IF(TRIM(H58)&lt;&gt;"",COUNTA(H$9:$H58)&amp;"","")</f>
        <v/>
      </c>
      <c r="B58" s="112"/>
      <c r="C58" s="112"/>
      <c r="D58" s="85" t="s">
        <v>78</v>
      </c>
      <c r="E58" s="160" t="s">
        <v>77</v>
      </c>
      <c r="F58" s="87"/>
      <c r="H58" s="88"/>
      <c r="I58" s="89" t="str">
        <f t="shared" ref="I58:I68" si="78">IF(F58=0,"",0)</f>
        <v/>
      </c>
      <c r="J58" s="90" t="str">
        <f t="shared" ref="J58:J68" si="79">IF(F58=0,"",F58+(F58*I58))</f>
        <v/>
      </c>
      <c r="K58" s="91" t="str">
        <f t="shared" ref="K58" si="80">IF(F58=0,"",0)</f>
        <v/>
      </c>
      <c r="L58" s="92" t="str">
        <f t="shared" ref="L58:L68" si="81">IF(F58=0,"",K58*J58)</f>
        <v/>
      </c>
      <c r="M58" s="93" t="str">
        <f t="shared" ref="M58:M68" si="82">IF(F58=0,"",M$7)</f>
        <v/>
      </c>
      <c r="N58" s="94" t="str">
        <f t="shared" ref="N58" si="83">IF(F58=0,"",0)</f>
        <v/>
      </c>
      <c r="O58" s="94" t="str">
        <f t="shared" ref="O58:O68" si="84">IF(F58=0,"",N58*J58)</f>
        <v/>
      </c>
      <c r="P58" s="92" t="str">
        <f t="shared" ref="P58:P68" si="85">IF(F58=0,"",O58*M58)</f>
        <v/>
      </c>
      <c r="Q58" s="95" t="str">
        <f t="shared" ref="Q58:Q68" si="86">IF(F58=0,"",L58+P58)</f>
        <v/>
      </c>
      <c r="R58" s="96"/>
      <c r="S58" s="64"/>
      <c r="T58" s="64"/>
      <c r="U58" s="64"/>
      <c r="V58" s="64"/>
      <c r="W58" s="64"/>
    </row>
    <row r="59" spans="1:23" ht="18.899999999999999" customHeight="1" x14ac:dyDescent="0.3">
      <c r="A59" s="83" t="str">
        <f>IF(TRIM(H59)&lt;&gt;"",COUNTA(H$9:$H59)&amp;"","")</f>
        <v>29</v>
      </c>
      <c r="B59" s="185" t="s">
        <v>215</v>
      </c>
      <c r="C59" s="185" t="s">
        <v>216</v>
      </c>
      <c r="D59" s="188"/>
      <c r="E59" s="86" t="s">
        <v>214</v>
      </c>
      <c r="F59" s="87">
        <v>2</v>
      </c>
      <c r="H59" s="88" t="s">
        <v>181</v>
      </c>
      <c r="I59" s="89">
        <f t="shared" si="78"/>
        <v>0</v>
      </c>
      <c r="J59" s="90">
        <f t="shared" si="79"/>
        <v>2</v>
      </c>
      <c r="K59" s="91">
        <v>718.25</v>
      </c>
      <c r="L59" s="92">
        <f t="shared" si="81"/>
        <v>1436.5</v>
      </c>
      <c r="M59" s="93">
        <f t="shared" si="82"/>
        <v>48.95</v>
      </c>
      <c r="N59" s="94">
        <v>3.5208333333333335</v>
      </c>
      <c r="O59" s="94">
        <f t="shared" si="84"/>
        <v>7.041666666666667</v>
      </c>
      <c r="P59" s="92">
        <f t="shared" si="85"/>
        <v>344.68958333333336</v>
      </c>
      <c r="Q59" s="95">
        <f t="shared" si="86"/>
        <v>1781.1895833333333</v>
      </c>
      <c r="R59" s="96"/>
    </row>
    <row r="60" spans="1:23" ht="18.899999999999999" customHeight="1" x14ac:dyDescent="0.3">
      <c r="A60" s="83" t="str">
        <f>IF(TRIM(H60)&lt;&gt;"",COUNTA(H$9:$H60)&amp;"","")</f>
        <v>30</v>
      </c>
      <c r="B60" s="186"/>
      <c r="C60" s="186"/>
      <c r="D60" s="189"/>
      <c r="E60" s="86" t="s">
        <v>217</v>
      </c>
      <c r="F60" s="87">
        <v>2</v>
      </c>
      <c r="H60" s="88" t="s">
        <v>181</v>
      </c>
      <c r="I60" s="89">
        <f t="shared" si="78"/>
        <v>0</v>
      </c>
      <c r="J60" s="90">
        <f t="shared" si="79"/>
        <v>2</v>
      </c>
      <c r="K60" s="91">
        <v>697</v>
      </c>
      <c r="L60" s="92">
        <f t="shared" si="81"/>
        <v>1394</v>
      </c>
      <c r="M60" s="93">
        <f t="shared" si="82"/>
        <v>48.95</v>
      </c>
      <c r="N60" s="94">
        <v>3.4166666666666665</v>
      </c>
      <c r="O60" s="94">
        <f t="shared" si="84"/>
        <v>6.833333333333333</v>
      </c>
      <c r="P60" s="92">
        <f t="shared" si="85"/>
        <v>334.49166666666667</v>
      </c>
      <c r="Q60" s="95">
        <f t="shared" si="86"/>
        <v>1728.4916666666668</v>
      </c>
      <c r="R60" s="96"/>
    </row>
    <row r="61" spans="1:23" ht="18.899999999999999" customHeight="1" x14ac:dyDescent="0.3">
      <c r="A61" s="83" t="str">
        <f>IF(TRIM(H61)&lt;&gt;"",COUNTA(H$9:$H61)&amp;"","")</f>
        <v>31</v>
      </c>
      <c r="B61" s="186"/>
      <c r="C61" s="186"/>
      <c r="D61" s="189"/>
      <c r="E61" s="86" t="s">
        <v>218</v>
      </c>
      <c r="F61" s="87">
        <v>1</v>
      </c>
      <c r="H61" s="88" t="s">
        <v>181</v>
      </c>
      <c r="I61" s="89">
        <f t="shared" si="78"/>
        <v>0</v>
      </c>
      <c r="J61" s="90">
        <f t="shared" si="79"/>
        <v>1</v>
      </c>
      <c r="K61" s="91">
        <v>726.75</v>
      </c>
      <c r="L61" s="92">
        <f t="shared" si="81"/>
        <v>726.75</v>
      </c>
      <c r="M61" s="93">
        <f t="shared" si="82"/>
        <v>48.95</v>
      </c>
      <c r="N61" s="94">
        <v>3.5625</v>
      </c>
      <c r="O61" s="94">
        <f t="shared" si="84"/>
        <v>3.5625</v>
      </c>
      <c r="P61" s="92">
        <f t="shared" si="85"/>
        <v>174.38437500000001</v>
      </c>
      <c r="Q61" s="95">
        <f t="shared" si="86"/>
        <v>901.13437499999998</v>
      </c>
      <c r="R61" s="96"/>
    </row>
    <row r="62" spans="1:23" ht="18.899999999999999" customHeight="1" x14ac:dyDescent="0.3">
      <c r="A62" s="83" t="str">
        <f>IF(TRIM(H62)&lt;&gt;"",COUNTA(H$9:$H62)&amp;"","")</f>
        <v>32</v>
      </c>
      <c r="B62" s="186"/>
      <c r="C62" s="186"/>
      <c r="D62" s="189"/>
      <c r="E62" s="86" t="s">
        <v>219</v>
      </c>
      <c r="F62" s="87">
        <v>1</v>
      </c>
      <c r="H62" s="88" t="s">
        <v>181</v>
      </c>
      <c r="I62" s="89">
        <f t="shared" ref="I62:I64" si="87">IF(F62=0,"",0)</f>
        <v>0</v>
      </c>
      <c r="J62" s="90">
        <f t="shared" ref="J62:J64" si="88">IF(F62=0,"",F62+(F62*I62))</f>
        <v>1</v>
      </c>
      <c r="K62" s="91">
        <v>722.5</v>
      </c>
      <c r="L62" s="92">
        <f t="shared" ref="L62:L64" si="89">IF(F62=0,"",K62*J62)</f>
        <v>722.5</v>
      </c>
      <c r="M62" s="93">
        <f t="shared" ref="M62:M64" si="90">IF(F62=0,"",M$7)</f>
        <v>48.95</v>
      </c>
      <c r="N62" s="94">
        <v>3.5416666666666665</v>
      </c>
      <c r="O62" s="94">
        <f t="shared" ref="O62:O64" si="91">IF(F62=0,"",N62*J62)</f>
        <v>3.5416666666666665</v>
      </c>
      <c r="P62" s="92">
        <f t="shared" ref="P62:P64" si="92">IF(F62=0,"",O62*M62)</f>
        <v>173.36458333333334</v>
      </c>
      <c r="Q62" s="95">
        <f t="shared" ref="Q62:Q64" si="93">IF(F62=0,"",L62+P62)</f>
        <v>895.86458333333337</v>
      </c>
      <c r="R62" s="96"/>
    </row>
    <row r="63" spans="1:23" ht="18.899999999999999" customHeight="1" x14ac:dyDescent="0.3">
      <c r="A63" s="83" t="str">
        <f>IF(TRIM(H63)&lt;&gt;"",COUNTA(H$9:$H63)&amp;"","")</f>
        <v>33</v>
      </c>
      <c r="B63" s="186"/>
      <c r="C63" s="186"/>
      <c r="D63" s="189"/>
      <c r="E63" s="86" t="s">
        <v>220</v>
      </c>
      <c r="F63" s="87">
        <v>1</v>
      </c>
      <c r="H63" s="88" t="s">
        <v>181</v>
      </c>
      <c r="I63" s="89">
        <f t="shared" si="87"/>
        <v>0</v>
      </c>
      <c r="J63" s="90">
        <f t="shared" si="88"/>
        <v>1</v>
      </c>
      <c r="K63" s="91">
        <v>731</v>
      </c>
      <c r="L63" s="92">
        <f t="shared" si="89"/>
        <v>731</v>
      </c>
      <c r="M63" s="93">
        <f t="shared" si="90"/>
        <v>48.95</v>
      </c>
      <c r="N63" s="94">
        <v>3.5833333333333335</v>
      </c>
      <c r="O63" s="94">
        <f t="shared" si="91"/>
        <v>3.5833333333333335</v>
      </c>
      <c r="P63" s="92">
        <f t="shared" si="92"/>
        <v>175.4041666666667</v>
      </c>
      <c r="Q63" s="95">
        <f t="shared" si="93"/>
        <v>906.4041666666667</v>
      </c>
      <c r="R63" s="96"/>
    </row>
    <row r="64" spans="1:23" ht="18.899999999999999" customHeight="1" x14ac:dyDescent="0.3">
      <c r="A64" s="83" t="str">
        <f>IF(TRIM(H64)&lt;&gt;"",COUNTA(H$9:$H64)&amp;"","")</f>
        <v>34</v>
      </c>
      <c r="B64" s="187"/>
      <c r="C64" s="187"/>
      <c r="D64" s="190"/>
      <c r="E64" s="86" t="s">
        <v>221</v>
      </c>
      <c r="F64" s="87">
        <v>2</v>
      </c>
      <c r="H64" s="88" t="s">
        <v>181</v>
      </c>
      <c r="I64" s="89">
        <f t="shared" si="87"/>
        <v>0</v>
      </c>
      <c r="J64" s="90">
        <f t="shared" si="88"/>
        <v>2</v>
      </c>
      <c r="K64" s="91">
        <v>726.75</v>
      </c>
      <c r="L64" s="92">
        <f t="shared" si="89"/>
        <v>1453.5</v>
      </c>
      <c r="M64" s="93">
        <f t="shared" si="90"/>
        <v>48.95</v>
      </c>
      <c r="N64" s="94">
        <v>3.5625</v>
      </c>
      <c r="O64" s="94">
        <f t="shared" si="91"/>
        <v>7.125</v>
      </c>
      <c r="P64" s="92">
        <f t="shared" si="92"/>
        <v>348.76875000000001</v>
      </c>
      <c r="Q64" s="95">
        <f t="shared" si="93"/>
        <v>1802.26875</v>
      </c>
      <c r="R64" s="96"/>
    </row>
    <row r="65" spans="1:23" s="113" customFormat="1" ht="19.2" customHeight="1" x14ac:dyDescent="0.3">
      <c r="A65" s="83" t="str">
        <f>IF(TRIM(H65)&lt;&gt;"",COUNTA(H$9:$H65)&amp;"","")</f>
        <v/>
      </c>
      <c r="B65" s="112"/>
      <c r="C65" s="112"/>
      <c r="D65" s="85" t="s">
        <v>80</v>
      </c>
      <c r="E65" s="160" t="s">
        <v>79</v>
      </c>
      <c r="F65" s="87"/>
      <c r="H65" s="88"/>
      <c r="I65" s="89" t="str">
        <f t="shared" si="78"/>
        <v/>
      </c>
      <c r="J65" s="90" t="str">
        <f t="shared" si="79"/>
        <v/>
      </c>
      <c r="K65" s="91" t="s">
        <v>407</v>
      </c>
      <c r="L65" s="92" t="str">
        <f t="shared" si="81"/>
        <v/>
      </c>
      <c r="M65" s="93" t="str">
        <f t="shared" si="82"/>
        <v/>
      </c>
      <c r="N65" s="94" t="s">
        <v>407</v>
      </c>
      <c r="O65" s="94" t="str">
        <f t="shared" si="84"/>
        <v/>
      </c>
      <c r="P65" s="92" t="str">
        <f t="shared" si="85"/>
        <v/>
      </c>
      <c r="Q65" s="95" t="str">
        <f t="shared" si="86"/>
        <v/>
      </c>
      <c r="R65" s="96"/>
      <c r="S65" s="64"/>
      <c r="T65" s="64"/>
      <c r="U65" s="64"/>
      <c r="V65" s="64"/>
      <c r="W65" s="64"/>
    </row>
    <row r="66" spans="1:23" ht="18.899999999999999" customHeight="1" x14ac:dyDescent="0.3">
      <c r="A66" s="83" t="str">
        <f>IF(TRIM(H66)&lt;&gt;"",COUNTA(H$9:$H66)&amp;"","")</f>
        <v>35</v>
      </c>
      <c r="B66" s="84" t="s">
        <v>224</v>
      </c>
      <c r="C66" s="84" t="s">
        <v>225</v>
      </c>
      <c r="D66" s="85"/>
      <c r="E66" s="86" t="s">
        <v>223</v>
      </c>
      <c r="F66" s="87">
        <v>1</v>
      </c>
      <c r="H66" s="88" t="s">
        <v>181</v>
      </c>
      <c r="I66" s="89">
        <f t="shared" si="78"/>
        <v>0</v>
      </c>
      <c r="J66" s="90">
        <f t="shared" si="79"/>
        <v>1</v>
      </c>
      <c r="K66" s="91">
        <v>420.75</v>
      </c>
      <c r="L66" s="92">
        <f t="shared" si="81"/>
        <v>420.75</v>
      </c>
      <c r="M66" s="93">
        <f t="shared" si="82"/>
        <v>48.95</v>
      </c>
      <c r="N66" s="94">
        <v>2.0625</v>
      </c>
      <c r="O66" s="94">
        <f t="shared" si="84"/>
        <v>2.0625</v>
      </c>
      <c r="P66" s="92">
        <f t="shared" si="85"/>
        <v>100.95937500000001</v>
      </c>
      <c r="Q66" s="95">
        <f t="shared" si="86"/>
        <v>521.70937500000002</v>
      </c>
      <c r="R66" s="96"/>
    </row>
    <row r="67" spans="1:23" s="113" customFormat="1" ht="19.2" customHeight="1" x14ac:dyDescent="0.3">
      <c r="A67" s="83" t="str">
        <f>IF(TRIM(H67)&lt;&gt;"",COUNTA(H$9:$H67)&amp;"","")</f>
        <v/>
      </c>
      <c r="B67" s="112"/>
      <c r="C67" s="112"/>
      <c r="D67" s="85" t="s">
        <v>82</v>
      </c>
      <c r="E67" s="160" t="s">
        <v>81</v>
      </c>
      <c r="F67" s="87"/>
      <c r="H67" s="88"/>
      <c r="I67" s="89" t="str">
        <f t="shared" si="78"/>
        <v/>
      </c>
      <c r="J67" s="90" t="str">
        <f t="shared" si="79"/>
        <v/>
      </c>
      <c r="K67" s="91" t="s">
        <v>407</v>
      </c>
      <c r="L67" s="92" t="str">
        <f t="shared" si="81"/>
        <v/>
      </c>
      <c r="M67" s="93" t="str">
        <f t="shared" si="82"/>
        <v/>
      </c>
      <c r="N67" s="94" t="s">
        <v>407</v>
      </c>
      <c r="O67" s="94" t="str">
        <f t="shared" si="84"/>
        <v/>
      </c>
      <c r="P67" s="92" t="str">
        <f t="shared" si="85"/>
        <v/>
      </c>
      <c r="Q67" s="95" t="str">
        <f t="shared" si="86"/>
        <v/>
      </c>
      <c r="R67" s="96"/>
      <c r="S67" s="64"/>
      <c r="T67" s="64"/>
      <c r="U67" s="64"/>
      <c r="V67" s="64"/>
      <c r="W67" s="64"/>
    </row>
    <row r="68" spans="1:23" ht="18.899999999999999" customHeight="1" x14ac:dyDescent="0.3">
      <c r="A68" s="83" t="str">
        <f>IF(TRIM(H68)&lt;&gt;"",COUNTA(H$9:$H68)&amp;"","")</f>
        <v>36</v>
      </c>
      <c r="B68" s="84" t="s">
        <v>224</v>
      </c>
      <c r="C68" s="84" t="s">
        <v>227</v>
      </c>
      <c r="D68" s="85"/>
      <c r="E68" s="86" t="s">
        <v>226</v>
      </c>
      <c r="F68" s="87">
        <v>1</v>
      </c>
      <c r="H68" s="88" t="s">
        <v>181</v>
      </c>
      <c r="I68" s="89">
        <f t="shared" si="78"/>
        <v>0</v>
      </c>
      <c r="J68" s="90">
        <f t="shared" si="79"/>
        <v>1</v>
      </c>
      <c r="K68" s="91">
        <v>374.46750000000003</v>
      </c>
      <c r="L68" s="92">
        <f t="shared" si="81"/>
        <v>374.46750000000003</v>
      </c>
      <c r="M68" s="93">
        <f t="shared" si="82"/>
        <v>48.95</v>
      </c>
      <c r="N68" s="94">
        <v>1.8356249999999998</v>
      </c>
      <c r="O68" s="94">
        <f t="shared" si="84"/>
        <v>1.8356249999999998</v>
      </c>
      <c r="P68" s="92">
        <f t="shared" si="85"/>
        <v>89.853843749999996</v>
      </c>
      <c r="Q68" s="95">
        <f t="shared" si="86"/>
        <v>464.32134375000004</v>
      </c>
      <c r="R68" s="96"/>
    </row>
    <row r="69" spans="1:23" s="113" customFormat="1" ht="19.2" customHeight="1" x14ac:dyDescent="0.3">
      <c r="A69" s="83" t="str">
        <f>IF(TRIM(H69)&lt;&gt;"",COUNTA(H$9:$H69)&amp;"","")</f>
        <v/>
      </c>
      <c r="B69" s="112"/>
      <c r="C69" s="112"/>
      <c r="D69" s="85" t="s">
        <v>84</v>
      </c>
      <c r="E69" s="160" t="s">
        <v>83</v>
      </c>
      <c r="F69" s="87"/>
      <c r="H69" s="88"/>
      <c r="I69" s="89" t="str">
        <f t="shared" ref="I69:I75" si="94">IF(F69=0,"",0)</f>
        <v/>
      </c>
      <c r="J69" s="90" t="str">
        <f t="shared" ref="J69:J75" si="95">IF(F69=0,"",F69+(F69*I69))</f>
        <v/>
      </c>
      <c r="K69" s="91" t="s">
        <v>407</v>
      </c>
      <c r="L69" s="92" t="str">
        <f t="shared" ref="L69:L75" si="96">IF(F69=0,"",K69*J69)</f>
        <v/>
      </c>
      <c r="M69" s="93" t="str">
        <f t="shared" ref="M69:M75" si="97">IF(F69=0,"",M$7)</f>
        <v/>
      </c>
      <c r="N69" s="94" t="s">
        <v>407</v>
      </c>
      <c r="O69" s="94" t="str">
        <f t="shared" ref="O69:O75" si="98">IF(F69=0,"",N69*J69)</f>
        <v/>
      </c>
      <c r="P69" s="92" t="str">
        <f t="shared" ref="P69:P75" si="99">IF(F69=0,"",O69*M69)</f>
        <v/>
      </c>
      <c r="Q69" s="95" t="str">
        <f t="shared" ref="Q69:Q75" si="100">IF(F69=0,"",L69+P69)</f>
        <v/>
      </c>
      <c r="R69" s="96"/>
      <c r="S69" s="64"/>
      <c r="T69" s="64"/>
      <c r="U69" s="64"/>
      <c r="V69" s="64"/>
      <c r="W69" s="64"/>
    </row>
    <row r="70" spans="1:23" ht="69" x14ac:dyDescent="0.3">
      <c r="A70" s="83" t="str">
        <f>IF(TRIM(H70)&lt;&gt;"",COUNTA(H$9:$H70)&amp;"","")</f>
        <v>37</v>
      </c>
      <c r="B70" s="191" t="s">
        <v>215</v>
      </c>
      <c r="C70" s="191" t="s">
        <v>216</v>
      </c>
      <c r="D70" s="188"/>
      <c r="E70" s="149" t="s">
        <v>267</v>
      </c>
      <c r="F70" s="87">
        <v>5</v>
      </c>
      <c r="H70" s="88" t="s">
        <v>181</v>
      </c>
      <c r="I70" s="89">
        <f t="shared" si="94"/>
        <v>0</v>
      </c>
      <c r="J70" s="90">
        <f t="shared" si="95"/>
        <v>5</v>
      </c>
      <c r="K70" s="91">
        <v>187.2</v>
      </c>
      <c r="L70" s="92">
        <f t="shared" si="96"/>
        <v>936</v>
      </c>
      <c r="M70" s="93">
        <f t="shared" si="97"/>
        <v>48.95</v>
      </c>
      <c r="N70" s="94">
        <v>0.91764705882352926</v>
      </c>
      <c r="O70" s="94">
        <f t="shared" si="98"/>
        <v>4.5882352941176467</v>
      </c>
      <c r="P70" s="92">
        <f t="shared" si="99"/>
        <v>224.59411764705882</v>
      </c>
      <c r="Q70" s="95">
        <f t="shared" si="100"/>
        <v>1160.5941176470587</v>
      </c>
      <c r="R70" s="96"/>
    </row>
    <row r="71" spans="1:23" ht="55.2" x14ac:dyDescent="0.3">
      <c r="A71" s="83" t="str">
        <f>IF(TRIM(H71)&lt;&gt;"",COUNTA(H$9:$H71)&amp;"","")</f>
        <v>38</v>
      </c>
      <c r="B71" s="192"/>
      <c r="C71" s="192"/>
      <c r="D71" s="192"/>
      <c r="E71" s="149" t="s">
        <v>268</v>
      </c>
      <c r="F71" s="87">
        <v>1</v>
      </c>
      <c r="H71" s="88" t="s">
        <v>181</v>
      </c>
      <c r="I71" s="89">
        <f t="shared" si="94"/>
        <v>0</v>
      </c>
      <c r="J71" s="90">
        <f t="shared" si="95"/>
        <v>1</v>
      </c>
      <c r="K71" s="91">
        <v>129.68</v>
      </c>
      <c r="L71" s="92">
        <f t="shared" si="96"/>
        <v>129.68</v>
      </c>
      <c r="M71" s="93">
        <f t="shared" si="97"/>
        <v>48.95</v>
      </c>
      <c r="N71" s="94">
        <v>0.63568627450980386</v>
      </c>
      <c r="O71" s="94">
        <f t="shared" si="98"/>
        <v>0.63568627450980386</v>
      </c>
      <c r="P71" s="92">
        <f t="shared" si="99"/>
        <v>31.1168431372549</v>
      </c>
      <c r="Q71" s="95">
        <f t="shared" si="100"/>
        <v>160.79684313725491</v>
      </c>
      <c r="R71" s="96"/>
    </row>
    <row r="72" spans="1:23" ht="55.2" x14ac:dyDescent="0.3">
      <c r="A72" s="83" t="str">
        <f>IF(TRIM(H72)&lt;&gt;"",COUNTA(H$9:$H72)&amp;"","")</f>
        <v>39</v>
      </c>
      <c r="B72" s="192"/>
      <c r="C72" s="192"/>
      <c r="D72" s="192"/>
      <c r="E72" s="149" t="s">
        <v>269</v>
      </c>
      <c r="F72" s="87">
        <v>1</v>
      </c>
      <c r="H72" s="88" t="s">
        <v>181</v>
      </c>
      <c r="I72" s="89">
        <f t="shared" si="94"/>
        <v>0</v>
      </c>
      <c r="J72" s="90">
        <f t="shared" si="95"/>
        <v>1</v>
      </c>
      <c r="K72" s="91">
        <v>566.70000000000005</v>
      </c>
      <c r="L72" s="92">
        <f t="shared" si="96"/>
        <v>566.70000000000005</v>
      </c>
      <c r="M72" s="93">
        <f t="shared" si="97"/>
        <v>48.95</v>
      </c>
      <c r="N72" s="94">
        <v>2.7779411764705886</v>
      </c>
      <c r="O72" s="94">
        <f t="shared" si="98"/>
        <v>2.7779411764705886</v>
      </c>
      <c r="P72" s="92">
        <f t="shared" si="99"/>
        <v>135.98022058823531</v>
      </c>
      <c r="Q72" s="95">
        <f t="shared" si="100"/>
        <v>702.68022058823533</v>
      </c>
      <c r="R72" s="96"/>
    </row>
    <row r="73" spans="1:23" ht="82.8" x14ac:dyDescent="0.3">
      <c r="A73" s="83" t="str">
        <f>IF(TRIM(H73)&lt;&gt;"",COUNTA(H$9:$H73)&amp;"","")</f>
        <v>40</v>
      </c>
      <c r="B73" s="192"/>
      <c r="C73" s="192"/>
      <c r="D73" s="192"/>
      <c r="E73" s="149" t="s">
        <v>270</v>
      </c>
      <c r="F73" s="87">
        <v>1</v>
      </c>
      <c r="H73" s="88" t="s">
        <v>181</v>
      </c>
      <c r="I73" s="89">
        <f t="shared" ref="I73:I74" si="101">IF(F73=0,"",0)</f>
        <v>0</v>
      </c>
      <c r="J73" s="90">
        <f t="shared" ref="J73:J74" si="102">IF(F73=0,"",F73+(F73*I73))</f>
        <v>1</v>
      </c>
      <c r="K73" s="91">
        <v>622.16</v>
      </c>
      <c r="L73" s="92">
        <f t="shared" ref="L73:L74" si="103">IF(F73=0,"",K73*J73)</f>
        <v>622.16</v>
      </c>
      <c r="M73" s="93">
        <f t="shared" ref="M73:M74" si="104">IF(F73=0,"",M$7)</f>
        <v>48.95</v>
      </c>
      <c r="N73" s="94">
        <v>3.049803921568627</v>
      </c>
      <c r="O73" s="94">
        <f t="shared" ref="O73:O74" si="105">IF(F73=0,"",N73*J73)</f>
        <v>3.049803921568627</v>
      </c>
      <c r="P73" s="92">
        <f t="shared" ref="P73:P74" si="106">IF(F73=0,"",O73*M73)</f>
        <v>149.2879019607843</v>
      </c>
      <c r="Q73" s="95">
        <f t="shared" ref="Q73:Q74" si="107">IF(F73=0,"",L73+P73)</f>
        <v>771.44790196078429</v>
      </c>
      <c r="R73" s="96"/>
    </row>
    <row r="74" spans="1:23" ht="69" x14ac:dyDescent="0.3">
      <c r="A74" s="83" t="str">
        <f>IF(TRIM(H74)&lt;&gt;"",COUNTA(H$9:$H74)&amp;"","")</f>
        <v>41</v>
      </c>
      <c r="B74" s="193"/>
      <c r="C74" s="193"/>
      <c r="D74" s="193"/>
      <c r="E74" s="149" t="s">
        <v>271</v>
      </c>
      <c r="F74" s="87">
        <v>1</v>
      </c>
      <c r="H74" s="88" t="s">
        <v>181</v>
      </c>
      <c r="I74" s="89">
        <f t="shared" si="101"/>
        <v>0</v>
      </c>
      <c r="J74" s="90">
        <f t="shared" si="102"/>
        <v>1</v>
      </c>
      <c r="K74" s="91">
        <v>594.16</v>
      </c>
      <c r="L74" s="92">
        <f t="shared" si="103"/>
        <v>594.16</v>
      </c>
      <c r="M74" s="93">
        <f t="shared" si="104"/>
        <v>48.95</v>
      </c>
      <c r="N74" s="94">
        <v>2.9125490196078427</v>
      </c>
      <c r="O74" s="94">
        <f t="shared" si="105"/>
        <v>2.9125490196078427</v>
      </c>
      <c r="P74" s="92">
        <f t="shared" si="106"/>
        <v>142.5692745098039</v>
      </c>
      <c r="Q74" s="95">
        <f t="shared" si="107"/>
        <v>736.72927450980387</v>
      </c>
      <c r="R74" s="96"/>
    </row>
    <row r="75" spans="1:23" ht="15" thickBot="1" x14ac:dyDescent="0.35">
      <c r="A75" s="83" t="str">
        <f>IF(TRIM(H75)&lt;&gt;"",COUNTA(H$9:$H75)&amp;"","")</f>
        <v/>
      </c>
      <c r="B75" s="98"/>
      <c r="C75" s="98"/>
      <c r="D75" s="85"/>
      <c r="E75" s="99"/>
      <c r="F75" s="87"/>
      <c r="H75" s="88"/>
      <c r="I75" s="89" t="str">
        <f t="shared" si="94"/>
        <v/>
      </c>
      <c r="J75" s="90" t="str">
        <f t="shared" si="95"/>
        <v/>
      </c>
      <c r="K75" s="91" t="str">
        <f t="shared" ref="K75" si="108">IF(F75=0,"",0)</f>
        <v/>
      </c>
      <c r="L75" s="92" t="str">
        <f t="shared" si="96"/>
        <v/>
      </c>
      <c r="M75" s="93" t="str">
        <f t="shared" si="97"/>
        <v/>
      </c>
      <c r="N75" s="94" t="str">
        <f t="shared" ref="N75" si="109">IF(F75=0,"",0)</f>
        <v/>
      </c>
      <c r="O75" s="94" t="str">
        <f t="shared" si="98"/>
        <v/>
      </c>
      <c r="P75" s="92" t="str">
        <f t="shared" si="99"/>
        <v/>
      </c>
      <c r="Q75" s="95" t="str">
        <f t="shared" si="100"/>
        <v/>
      </c>
      <c r="R75" s="96"/>
    </row>
    <row r="76" spans="1:23" s="111" customFormat="1" ht="16.2" thickBot="1" x14ac:dyDescent="0.35">
      <c r="A76" s="83" t="str">
        <f>IF(TRIM(H76)&lt;&gt;"",COUNTA(H$9:$H76)&amp;"","")</f>
        <v/>
      </c>
      <c r="B76" s="100"/>
      <c r="C76" s="100"/>
      <c r="D76" s="101"/>
      <c r="E76" s="102"/>
      <c r="F76" s="103"/>
      <c r="H76" s="104"/>
      <c r="I76" s="105" t="s">
        <v>12</v>
      </c>
      <c r="J76" s="106"/>
      <c r="K76" s="107">
        <f>SUM(L$57:L$75)</f>
        <v>10108.1675</v>
      </c>
      <c r="L76" s="198" t="s">
        <v>13</v>
      </c>
      <c r="M76" s="199"/>
      <c r="N76" s="108">
        <f>SUM(P$57:P$75)</f>
        <v>2425.4647015931373</v>
      </c>
      <c r="O76" s="198" t="s">
        <v>42</v>
      </c>
      <c r="P76" s="199"/>
      <c r="Q76" s="109">
        <f>SUM(O$57:O$75)</f>
        <v>49.549840686274507</v>
      </c>
      <c r="R76" s="110">
        <f>SUM(Q$57:Q$75)</f>
        <v>12533.632201593138</v>
      </c>
      <c r="S76" s="64"/>
      <c r="T76" s="64"/>
      <c r="U76" s="64"/>
      <c r="V76" s="64"/>
      <c r="W76" s="64"/>
    </row>
    <row r="77" spans="1:23" s="166" customFormat="1" ht="20.100000000000001" customHeight="1" x14ac:dyDescent="0.3">
      <c r="A77" s="164" t="str">
        <f>IF(TRIM(H77)&lt;&gt;"",COUNTA(H$9:$H77)&amp;"","")</f>
        <v/>
      </c>
      <c r="B77" s="165"/>
      <c r="C77" s="165"/>
      <c r="D77" s="166" t="s">
        <v>44</v>
      </c>
      <c r="E77" s="166" t="s">
        <v>85</v>
      </c>
      <c r="F77" s="167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8"/>
    </row>
    <row r="78" spans="1:23" s="113" customFormat="1" ht="19.2" customHeight="1" x14ac:dyDescent="0.3">
      <c r="A78" s="83" t="str">
        <f>IF(TRIM(H78)&lt;&gt;"",COUNTA(H$9:$H78)&amp;"","")</f>
        <v/>
      </c>
      <c r="B78" s="112"/>
      <c r="C78" s="112"/>
      <c r="D78" s="85" t="s">
        <v>87</v>
      </c>
      <c r="E78" s="160" t="s">
        <v>86</v>
      </c>
      <c r="F78" s="87"/>
      <c r="H78" s="88"/>
      <c r="I78" s="89" t="str">
        <f t="shared" ref="I78:I124" si="110">IF(F78=0,"",0)</f>
        <v/>
      </c>
      <c r="J78" s="90" t="str">
        <f t="shared" ref="J78:J124" si="111">IF(F78=0,"",F78+(F78*I78))</f>
        <v/>
      </c>
      <c r="K78" s="91" t="str">
        <f t="shared" ref="K78:K79" si="112">IF(F78=0,"",0)</f>
        <v/>
      </c>
      <c r="L78" s="92" t="str">
        <f t="shared" ref="L78:L124" si="113">IF(F78=0,"",K78*J78)</f>
        <v/>
      </c>
      <c r="M78" s="93" t="str">
        <f t="shared" ref="M78:M124" si="114">IF(F78=0,"",M$7)</f>
        <v/>
      </c>
      <c r="N78" s="94" t="str">
        <f t="shared" ref="N78:N79" si="115">IF(F78=0,"",0)</f>
        <v/>
      </c>
      <c r="O78" s="94" t="str">
        <f t="shared" ref="O78:O124" si="116">IF(F78=0,"",N78*J78)</f>
        <v/>
      </c>
      <c r="P78" s="92" t="str">
        <f t="shared" ref="P78:P124" si="117">IF(F78=0,"",O78*M78)</f>
        <v/>
      </c>
      <c r="Q78" s="95" t="str">
        <f t="shared" ref="Q78:Q124" si="118">IF(F78=0,"",L78+P78)</f>
        <v/>
      </c>
      <c r="R78" s="96"/>
      <c r="S78" s="64"/>
      <c r="T78" s="64"/>
      <c r="U78" s="64"/>
      <c r="V78" s="64"/>
      <c r="W78" s="64"/>
    </row>
    <row r="79" spans="1:23" ht="18.899999999999999" customHeight="1" x14ac:dyDescent="0.3">
      <c r="A79" s="83" t="str">
        <f>IF(TRIM(H79)&lt;&gt;"",COUNTA(H$9:$H79)&amp;"","")</f>
        <v/>
      </c>
      <c r="B79" s="191" t="s">
        <v>201</v>
      </c>
      <c r="C79" s="191" t="s">
        <v>213</v>
      </c>
      <c r="D79" s="188"/>
      <c r="E79" s="148" t="s">
        <v>195</v>
      </c>
      <c r="F79" s="87"/>
      <c r="H79" s="88"/>
      <c r="I79" s="89" t="str">
        <f t="shared" si="110"/>
        <v/>
      </c>
      <c r="J79" s="90" t="str">
        <f t="shared" si="111"/>
        <v/>
      </c>
      <c r="K79" s="91" t="str">
        <f t="shared" si="112"/>
        <v/>
      </c>
      <c r="L79" s="92" t="str">
        <f t="shared" si="113"/>
        <v/>
      </c>
      <c r="M79" s="93" t="str">
        <f t="shared" si="114"/>
        <v/>
      </c>
      <c r="N79" s="94" t="str">
        <f t="shared" si="115"/>
        <v/>
      </c>
      <c r="O79" s="94" t="str">
        <f t="shared" si="116"/>
        <v/>
      </c>
      <c r="P79" s="92" t="str">
        <f t="shared" si="117"/>
        <v/>
      </c>
      <c r="Q79" s="95" t="str">
        <f t="shared" si="118"/>
        <v/>
      </c>
      <c r="R79" s="96"/>
    </row>
    <row r="80" spans="1:23" ht="18.899999999999999" customHeight="1" x14ac:dyDescent="0.3">
      <c r="A80" s="83" t="str">
        <f>IF(TRIM(H80)&lt;&gt;"",COUNTA(H$9:$H80)&amp;"","")</f>
        <v>42</v>
      </c>
      <c r="B80" s="192"/>
      <c r="C80" s="192"/>
      <c r="D80" s="192"/>
      <c r="E80" s="86" t="s">
        <v>196</v>
      </c>
      <c r="F80" s="87">
        <v>98</v>
      </c>
      <c r="G80" s="64">
        <f>49*2</f>
        <v>98</v>
      </c>
      <c r="H80" s="88" t="s">
        <v>159</v>
      </c>
      <c r="I80" s="89">
        <f t="shared" ref="I80:I85" si="119">IF(F80=0,"",0)</f>
        <v>0</v>
      </c>
      <c r="J80" s="90">
        <f t="shared" ref="J80:J85" si="120">IF(F80=0,"",F80+(F80*I80))</f>
        <v>98</v>
      </c>
      <c r="K80" s="91">
        <v>1.92</v>
      </c>
      <c r="L80" s="92">
        <f t="shared" ref="L80:L85" si="121">IF(F80=0,"",K80*J80)</f>
        <v>188.16</v>
      </c>
      <c r="M80" s="93">
        <f t="shared" ref="M80:M85" si="122">IF(F80=0,"",M$7)</f>
        <v>48.95</v>
      </c>
      <c r="N80" s="94">
        <v>3.5555555555555562E-2</v>
      </c>
      <c r="O80" s="94">
        <f t="shared" ref="O80:O85" si="123">IF(F80=0,"",N80*J80)</f>
        <v>3.4844444444444451</v>
      </c>
      <c r="P80" s="92">
        <f t="shared" ref="P80:P85" si="124">IF(F80=0,"",O80*M80)</f>
        <v>170.56355555555561</v>
      </c>
      <c r="Q80" s="95">
        <f t="shared" ref="Q80:Q85" si="125">IF(F80=0,"",L80+P80)</f>
        <v>358.72355555555561</v>
      </c>
      <c r="R80" s="96"/>
    </row>
    <row r="81" spans="1:18" ht="18.899999999999999" customHeight="1" x14ac:dyDescent="0.3">
      <c r="A81" s="83" t="str">
        <f>IF(TRIM(H81)&lt;&gt;"",COUNTA(H$9:$H81)&amp;"","")</f>
        <v>43</v>
      </c>
      <c r="B81" s="192"/>
      <c r="C81" s="192"/>
      <c r="D81" s="192"/>
      <c r="E81" s="86" t="s">
        <v>197</v>
      </c>
      <c r="F81" s="87">
        <v>381</v>
      </c>
      <c r="G81" s="64">
        <f>49/1.33*10.34</f>
        <v>380.9473684210526</v>
      </c>
      <c r="H81" s="88" t="s">
        <v>159</v>
      </c>
      <c r="I81" s="89">
        <f t="shared" si="119"/>
        <v>0</v>
      </c>
      <c r="J81" s="90">
        <f t="shared" si="120"/>
        <v>381</v>
      </c>
      <c r="K81" s="91">
        <v>1.92</v>
      </c>
      <c r="L81" s="92">
        <f t="shared" si="121"/>
        <v>731.52</v>
      </c>
      <c r="M81" s="93">
        <f t="shared" si="122"/>
        <v>48.95</v>
      </c>
      <c r="N81" s="94">
        <v>3.5555555555555562E-2</v>
      </c>
      <c r="O81" s="94">
        <f t="shared" si="123"/>
        <v>13.546666666666669</v>
      </c>
      <c r="P81" s="92">
        <f t="shared" si="124"/>
        <v>663.10933333333344</v>
      </c>
      <c r="Q81" s="95">
        <f t="shared" si="125"/>
        <v>1394.6293333333333</v>
      </c>
      <c r="R81" s="96"/>
    </row>
    <row r="82" spans="1:18" ht="18.899999999999999" customHeight="1" x14ac:dyDescent="0.3">
      <c r="A82" s="83" t="str">
        <f>IF(TRIM(H82)&lt;&gt;"",COUNTA(H$9:$H82)&amp;"","")</f>
        <v>44</v>
      </c>
      <c r="B82" s="192"/>
      <c r="C82" s="192"/>
      <c r="D82" s="192"/>
      <c r="E82" s="86" t="s">
        <v>198</v>
      </c>
      <c r="F82" s="87">
        <v>1014</v>
      </c>
      <c r="G82" s="64">
        <f>49*10.34*2</f>
        <v>1013.3199999999999</v>
      </c>
      <c r="H82" s="88" t="s">
        <v>135</v>
      </c>
      <c r="I82" s="89">
        <f t="shared" si="119"/>
        <v>0</v>
      </c>
      <c r="J82" s="90">
        <f t="shared" si="120"/>
        <v>1014</v>
      </c>
      <c r="K82" s="91">
        <v>0.78</v>
      </c>
      <c r="L82" s="92">
        <f t="shared" si="121"/>
        <v>790.92000000000007</v>
      </c>
      <c r="M82" s="93">
        <f t="shared" si="122"/>
        <v>48.95</v>
      </c>
      <c r="N82" s="94">
        <v>1.4444444444444446E-2</v>
      </c>
      <c r="O82" s="94">
        <f t="shared" si="123"/>
        <v>14.646666666666668</v>
      </c>
      <c r="P82" s="92">
        <f t="shared" si="124"/>
        <v>716.95433333333347</v>
      </c>
      <c r="Q82" s="95">
        <f t="shared" si="125"/>
        <v>1507.8743333333337</v>
      </c>
      <c r="R82" s="96"/>
    </row>
    <row r="83" spans="1:18" ht="18.899999999999999" customHeight="1" x14ac:dyDescent="0.3">
      <c r="A83" s="83" t="str">
        <f>IF(TRIM(H83)&lt;&gt;"",COUNTA(H$9:$H83)&amp;"","")</f>
        <v>45</v>
      </c>
      <c r="B83" s="192"/>
      <c r="C83" s="192"/>
      <c r="D83" s="192"/>
      <c r="E83" s="86" t="s">
        <v>199</v>
      </c>
      <c r="F83" s="87">
        <v>507</v>
      </c>
      <c r="G83" s="64">
        <f>49*10.34</f>
        <v>506.65999999999997</v>
      </c>
      <c r="H83" s="88" t="s">
        <v>135</v>
      </c>
      <c r="I83" s="89">
        <f t="shared" si="119"/>
        <v>0</v>
      </c>
      <c r="J83" s="90">
        <f t="shared" si="120"/>
        <v>507</v>
      </c>
      <c r="K83" s="91">
        <v>1.68</v>
      </c>
      <c r="L83" s="92">
        <f t="shared" si="121"/>
        <v>851.76</v>
      </c>
      <c r="M83" s="93">
        <f t="shared" si="122"/>
        <v>48.95</v>
      </c>
      <c r="N83" s="94">
        <v>3.1111111111111107E-2</v>
      </c>
      <c r="O83" s="94">
        <f t="shared" si="123"/>
        <v>15.773333333333332</v>
      </c>
      <c r="P83" s="92">
        <f t="shared" si="124"/>
        <v>772.10466666666662</v>
      </c>
      <c r="Q83" s="95">
        <f t="shared" si="125"/>
        <v>1623.8646666666666</v>
      </c>
      <c r="R83" s="96"/>
    </row>
    <row r="84" spans="1:18" ht="18.899999999999999" customHeight="1" x14ac:dyDescent="0.3">
      <c r="A84" s="83" t="str">
        <f>IF(TRIM(H84)&lt;&gt;"",COUNTA(H$9:$H84)&amp;"","")</f>
        <v>46</v>
      </c>
      <c r="B84" s="192"/>
      <c r="C84" s="192"/>
      <c r="D84" s="192"/>
      <c r="E84" s="86" t="s">
        <v>200</v>
      </c>
      <c r="F84" s="87">
        <v>196</v>
      </c>
      <c r="G84" s="64">
        <f>49*4</f>
        <v>196</v>
      </c>
      <c r="H84" s="88" t="s">
        <v>159</v>
      </c>
      <c r="I84" s="89">
        <f t="shared" si="119"/>
        <v>0</v>
      </c>
      <c r="J84" s="90">
        <f t="shared" si="120"/>
        <v>196</v>
      </c>
      <c r="K84" s="91">
        <v>0.6</v>
      </c>
      <c r="L84" s="92">
        <f t="shared" si="121"/>
        <v>117.6</v>
      </c>
      <c r="M84" s="93">
        <f t="shared" si="122"/>
        <v>48.95</v>
      </c>
      <c r="N84" s="94">
        <v>1.1111111111111112E-2</v>
      </c>
      <c r="O84" s="94">
        <f t="shared" si="123"/>
        <v>2.177777777777778</v>
      </c>
      <c r="P84" s="92">
        <f t="shared" si="124"/>
        <v>106.60222222222224</v>
      </c>
      <c r="Q84" s="95">
        <f t="shared" si="125"/>
        <v>224.20222222222225</v>
      </c>
      <c r="R84" s="96"/>
    </row>
    <row r="85" spans="1:18" ht="18.899999999999999" customHeight="1" x14ac:dyDescent="0.3">
      <c r="A85" s="83" t="str">
        <f>IF(TRIM(H85)&lt;&gt;"",COUNTA(H$9:$H85)&amp;"","")</f>
        <v/>
      </c>
      <c r="B85" s="192"/>
      <c r="C85" s="192"/>
      <c r="D85" s="192"/>
      <c r="E85" s="148" t="s">
        <v>205</v>
      </c>
      <c r="F85" s="87"/>
      <c r="H85" s="88"/>
      <c r="I85" s="89" t="str">
        <f t="shared" si="119"/>
        <v/>
      </c>
      <c r="J85" s="90" t="str">
        <f t="shared" si="120"/>
        <v/>
      </c>
      <c r="K85" s="91" t="s">
        <v>407</v>
      </c>
      <c r="L85" s="92" t="str">
        <f t="shared" si="121"/>
        <v/>
      </c>
      <c r="M85" s="93" t="str">
        <f t="shared" si="122"/>
        <v/>
      </c>
      <c r="N85" s="94" t="s">
        <v>407</v>
      </c>
      <c r="O85" s="94" t="str">
        <f t="shared" si="123"/>
        <v/>
      </c>
      <c r="P85" s="92" t="str">
        <f t="shared" si="124"/>
        <v/>
      </c>
      <c r="Q85" s="95" t="str">
        <f t="shared" si="125"/>
        <v/>
      </c>
      <c r="R85" s="96"/>
    </row>
    <row r="86" spans="1:18" ht="18.899999999999999" customHeight="1" x14ac:dyDescent="0.3">
      <c r="A86" s="83" t="str">
        <f>IF(TRIM(H86)&lt;&gt;"",COUNTA(H$9:$H86)&amp;"","")</f>
        <v>47</v>
      </c>
      <c r="B86" s="192"/>
      <c r="C86" s="192"/>
      <c r="D86" s="192"/>
      <c r="E86" s="86" t="s">
        <v>196</v>
      </c>
      <c r="F86" s="87">
        <v>32</v>
      </c>
      <c r="G86" s="64">
        <f>16*2</f>
        <v>32</v>
      </c>
      <c r="H86" s="88" t="s">
        <v>159</v>
      </c>
      <c r="I86" s="89">
        <f t="shared" si="110"/>
        <v>0</v>
      </c>
      <c r="J86" s="90">
        <f t="shared" si="111"/>
        <v>32</v>
      </c>
      <c r="K86" s="91">
        <v>1.92</v>
      </c>
      <c r="L86" s="92">
        <f t="shared" si="113"/>
        <v>61.44</v>
      </c>
      <c r="M86" s="93">
        <f t="shared" si="114"/>
        <v>48.95</v>
      </c>
      <c r="N86" s="94">
        <v>3.5555555555555562E-2</v>
      </c>
      <c r="O86" s="94">
        <f t="shared" si="116"/>
        <v>1.137777777777778</v>
      </c>
      <c r="P86" s="92">
        <f t="shared" si="117"/>
        <v>55.694222222222237</v>
      </c>
      <c r="Q86" s="95">
        <f t="shared" si="118"/>
        <v>117.13422222222223</v>
      </c>
      <c r="R86" s="96"/>
    </row>
    <row r="87" spans="1:18" ht="18.899999999999999" customHeight="1" x14ac:dyDescent="0.3">
      <c r="A87" s="83" t="str">
        <f>IF(TRIM(H87)&lt;&gt;"",COUNTA(H$9:$H87)&amp;"","")</f>
        <v>48</v>
      </c>
      <c r="B87" s="192"/>
      <c r="C87" s="192"/>
      <c r="D87" s="192"/>
      <c r="E87" s="86" t="s">
        <v>197</v>
      </c>
      <c r="F87" s="87">
        <v>125</v>
      </c>
      <c r="G87" s="64">
        <f>16/1.33*10.34</f>
        <v>124.39097744360902</v>
      </c>
      <c r="H87" s="88" t="s">
        <v>159</v>
      </c>
      <c r="I87" s="89">
        <f t="shared" si="110"/>
        <v>0</v>
      </c>
      <c r="J87" s="90">
        <f t="shared" si="111"/>
        <v>125</v>
      </c>
      <c r="K87" s="91">
        <v>1.92</v>
      </c>
      <c r="L87" s="92">
        <f t="shared" si="113"/>
        <v>240</v>
      </c>
      <c r="M87" s="93">
        <f t="shared" si="114"/>
        <v>48.95</v>
      </c>
      <c r="N87" s="94">
        <v>3.5555555555555562E-2</v>
      </c>
      <c r="O87" s="94">
        <f t="shared" si="116"/>
        <v>4.4444444444444455</v>
      </c>
      <c r="P87" s="92">
        <f t="shared" si="117"/>
        <v>217.55555555555563</v>
      </c>
      <c r="Q87" s="95">
        <f t="shared" si="118"/>
        <v>457.55555555555566</v>
      </c>
      <c r="R87" s="96"/>
    </row>
    <row r="88" spans="1:18" ht="18.899999999999999" customHeight="1" x14ac:dyDescent="0.3">
      <c r="A88" s="83" t="str">
        <f>IF(TRIM(H88)&lt;&gt;"",COUNTA(H$9:$H88)&amp;"","")</f>
        <v>49</v>
      </c>
      <c r="B88" s="192"/>
      <c r="C88" s="192"/>
      <c r="D88" s="192"/>
      <c r="E88" s="86" t="s">
        <v>202</v>
      </c>
      <c r="F88" s="87">
        <v>166</v>
      </c>
      <c r="G88" s="64">
        <f>16*10.34</f>
        <v>165.44</v>
      </c>
      <c r="H88" s="88" t="s">
        <v>135</v>
      </c>
      <c r="I88" s="89">
        <f t="shared" ref="I88" si="126">IF(F88=0,"",0)</f>
        <v>0</v>
      </c>
      <c r="J88" s="90">
        <f t="shared" ref="J88" si="127">IF(F88=0,"",F88+(F88*I88))</f>
        <v>166</v>
      </c>
      <c r="K88" s="91">
        <v>0.78</v>
      </c>
      <c r="L88" s="92">
        <f t="shared" ref="L88" si="128">IF(F88=0,"",K88*J88)</f>
        <v>129.48000000000002</v>
      </c>
      <c r="M88" s="93">
        <f t="shared" ref="M88" si="129">IF(F88=0,"",M$7)</f>
        <v>48.95</v>
      </c>
      <c r="N88" s="94">
        <v>1.4444444444444446E-2</v>
      </c>
      <c r="O88" s="94">
        <f t="shared" ref="O88" si="130">IF(F88=0,"",N88*J88)</f>
        <v>2.3977777777777778</v>
      </c>
      <c r="P88" s="92">
        <f t="shared" ref="P88" si="131">IF(F88=0,"",O88*M88)</f>
        <v>117.37122222222223</v>
      </c>
      <c r="Q88" s="95">
        <f t="shared" ref="Q88" si="132">IF(F88=0,"",L88+P88)</f>
        <v>246.85122222222225</v>
      </c>
      <c r="R88" s="96"/>
    </row>
    <row r="89" spans="1:18" ht="18.899999999999999" customHeight="1" x14ac:dyDescent="0.3">
      <c r="A89" s="83" t="str">
        <f>IF(TRIM(H89)&lt;&gt;"",COUNTA(H$9:$H89)&amp;"","")</f>
        <v>50</v>
      </c>
      <c r="B89" s="192"/>
      <c r="C89" s="192"/>
      <c r="D89" s="192"/>
      <c r="E89" s="86" t="s">
        <v>203</v>
      </c>
      <c r="F89" s="87">
        <v>166</v>
      </c>
      <c r="G89" s="64">
        <f>16*10.34</f>
        <v>165.44</v>
      </c>
      <c r="H89" s="88" t="s">
        <v>135</v>
      </c>
      <c r="I89" s="89">
        <f t="shared" si="110"/>
        <v>0</v>
      </c>
      <c r="J89" s="90">
        <f t="shared" si="111"/>
        <v>166</v>
      </c>
      <c r="K89" s="91">
        <v>1.32</v>
      </c>
      <c r="L89" s="92">
        <f t="shared" si="113"/>
        <v>219.12</v>
      </c>
      <c r="M89" s="93">
        <f t="shared" si="114"/>
        <v>48.95</v>
      </c>
      <c r="N89" s="94">
        <v>2.4444444444444449E-2</v>
      </c>
      <c r="O89" s="94">
        <f t="shared" si="116"/>
        <v>4.0577777777777788</v>
      </c>
      <c r="P89" s="92">
        <f t="shared" si="117"/>
        <v>198.62822222222229</v>
      </c>
      <c r="Q89" s="95">
        <f t="shared" si="118"/>
        <v>417.7482222222223</v>
      </c>
      <c r="R89" s="96"/>
    </row>
    <row r="90" spans="1:18" ht="18.899999999999999" customHeight="1" x14ac:dyDescent="0.3">
      <c r="A90" s="83" t="str">
        <f>IF(TRIM(H90)&lt;&gt;"",COUNTA(H$9:$H90)&amp;"","")</f>
        <v>51</v>
      </c>
      <c r="B90" s="192"/>
      <c r="C90" s="192"/>
      <c r="D90" s="192"/>
      <c r="E90" s="86" t="s">
        <v>199</v>
      </c>
      <c r="F90" s="87">
        <v>166</v>
      </c>
      <c r="G90" s="64">
        <f>16*10.34</f>
        <v>165.44</v>
      </c>
      <c r="H90" s="88" t="s">
        <v>135</v>
      </c>
      <c r="I90" s="89">
        <f t="shared" si="110"/>
        <v>0</v>
      </c>
      <c r="J90" s="90">
        <f t="shared" si="111"/>
        <v>166</v>
      </c>
      <c r="K90" s="91">
        <v>1.68</v>
      </c>
      <c r="L90" s="92">
        <f t="shared" si="113"/>
        <v>278.88</v>
      </c>
      <c r="M90" s="93">
        <f t="shared" si="114"/>
        <v>48.95</v>
      </c>
      <c r="N90" s="94">
        <v>3.1111111111111107E-2</v>
      </c>
      <c r="O90" s="94">
        <f t="shared" si="116"/>
        <v>5.1644444444444435</v>
      </c>
      <c r="P90" s="92">
        <f t="shared" si="117"/>
        <v>252.79955555555551</v>
      </c>
      <c r="Q90" s="95">
        <f t="shared" si="118"/>
        <v>531.67955555555545</v>
      </c>
      <c r="R90" s="96"/>
    </row>
    <row r="91" spans="1:18" ht="18.899999999999999" customHeight="1" x14ac:dyDescent="0.3">
      <c r="A91" s="83" t="str">
        <f>IF(TRIM(H91)&lt;&gt;"",COUNTA(H$9:$H91)&amp;"","")</f>
        <v>52</v>
      </c>
      <c r="B91" s="192"/>
      <c r="C91" s="192"/>
      <c r="D91" s="192"/>
      <c r="E91" s="86" t="s">
        <v>200</v>
      </c>
      <c r="F91" s="87">
        <v>64</v>
      </c>
      <c r="G91" s="64">
        <f>16*4</f>
        <v>64</v>
      </c>
      <c r="H91" s="88" t="s">
        <v>159</v>
      </c>
      <c r="I91" s="89">
        <f t="shared" si="110"/>
        <v>0</v>
      </c>
      <c r="J91" s="90">
        <f t="shared" si="111"/>
        <v>64</v>
      </c>
      <c r="K91" s="91">
        <v>0.6</v>
      </c>
      <c r="L91" s="92">
        <f t="shared" si="113"/>
        <v>38.4</v>
      </c>
      <c r="M91" s="93">
        <f t="shared" si="114"/>
        <v>48.95</v>
      </c>
      <c r="N91" s="94">
        <v>1.1111111111111112E-2</v>
      </c>
      <c r="O91" s="94">
        <f t="shared" si="116"/>
        <v>0.71111111111111114</v>
      </c>
      <c r="P91" s="92">
        <f t="shared" si="117"/>
        <v>34.808888888888895</v>
      </c>
      <c r="Q91" s="95">
        <f t="shared" si="118"/>
        <v>73.208888888888893</v>
      </c>
      <c r="R91" s="96"/>
    </row>
    <row r="92" spans="1:18" ht="18.899999999999999" customHeight="1" x14ac:dyDescent="0.3">
      <c r="A92" s="83" t="str">
        <f>IF(TRIM(H92)&lt;&gt;"",COUNTA(H$9:$H92)&amp;"","")</f>
        <v/>
      </c>
      <c r="B92" s="192"/>
      <c r="C92" s="192"/>
      <c r="D92" s="192"/>
      <c r="E92" s="148" t="s">
        <v>204</v>
      </c>
      <c r="F92" s="87"/>
      <c r="H92" s="88"/>
      <c r="I92" s="89" t="str">
        <f t="shared" si="110"/>
        <v/>
      </c>
      <c r="J92" s="90" t="str">
        <f t="shared" si="111"/>
        <v/>
      </c>
      <c r="K92" s="91" t="s">
        <v>407</v>
      </c>
      <c r="L92" s="92" t="str">
        <f t="shared" si="113"/>
        <v/>
      </c>
      <c r="M92" s="93" t="str">
        <f t="shared" si="114"/>
        <v/>
      </c>
      <c r="N92" s="94" t="s">
        <v>407</v>
      </c>
      <c r="O92" s="94" t="str">
        <f t="shared" si="116"/>
        <v/>
      </c>
      <c r="P92" s="92" t="str">
        <f t="shared" si="117"/>
        <v/>
      </c>
      <c r="Q92" s="95" t="str">
        <f t="shared" si="118"/>
        <v/>
      </c>
      <c r="R92" s="96"/>
    </row>
    <row r="93" spans="1:18" ht="18.899999999999999" customHeight="1" x14ac:dyDescent="0.3">
      <c r="A93" s="83" t="str">
        <f>IF(TRIM(H93)&lt;&gt;"",COUNTA(H$9:$H93)&amp;"","")</f>
        <v>53</v>
      </c>
      <c r="B93" s="192"/>
      <c r="C93" s="192"/>
      <c r="D93" s="192"/>
      <c r="E93" s="86" t="s">
        <v>206</v>
      </c>
      <c r="F93" s="87">
        <v>24</v>
      </c>
      <c r="G93" s="64">
        <f>6*4</f>
        <v>24</v>
      </c>
      <c r="H93" s="88" t="s">
        <v>159</v>
      </c>
      <c r="I93" s="89">
        <f t="shared" ref="I93:I99" si="133">IF(F93=0,"",0)</f>
        <v>0</v>
      </c>
      <c r="J93" s="90">
        <f t="shared" ref="J93:J99" si="134">IF(F93=0,"",F93+(F93*I93))</f>
        <v>24</v>
      </c>
      <c r="K93" s="91">
        <v>1.5</v>
      </c>
      <c r="L93" s="92">
        <f t="shared" ref="L93:L99" si="135">IF(F93=0,"",K93*J93)</f>
        <v>36</v>
      </c>
      <c r="M93" s="93">
        <f t="shared" ref="M93:M99" si="136">IF(F93=0,"",M$7)</f>
        <v>48.95</v>
      </c>
      <c r="N93" s="94">
        <v>2.7777777777777776E-2</v>
      </c>
      <c r="O93" s="94">
        <f t="shared" ref="O93:O99" si="137">IF(F93=0,"",N93*J93)</f>
        <v>0.66666666666666663</v>
      </c>
      <c r="P93" s="92">
        <f t="shared" ref="P93:P99" si="138">IF(F93=0,"",O93*M93)</f>
        <v>32.633333333333333</v>
      </c>
      <c r="Q93" s="95">
        <f t="shared" ref="Q93:Q99" si="139">IF(F93=0,"",L93+P93)</f>
        <v>68.633333333333326</v>
      </c>
      <c r="R93" s="96"/>
    </row>
    <row r="94" spans="1:18" ht="18.899999999999999" customHeight="1" x14ac:dyDescent="0.3">
      <c r="A94" s="83" t="str">
        <f>IF(TRIM(H94)&lt;&gt;"",COUNTA(H$9:$H94)&amp;"","")</f>
        <v>54</v>
      </c>
      <c r="B94" s="192"/>
      <c r="C94" s="192"/>
      <c r="D94" s="192"/>
      <c r="E94" s="86" t="s">
        <v>198</v>
      </c>
      <c r="F94" s="87">
        <v>124</v>
      </c>
      <c r="G94" s="64">
        <f>6*10.34*2</f>
        <v>124.08</v>
      </c>
      <c r="H94" s="88" t="s">
        <v>135</v>
      </c>
      <c r="I94" s="89">
        <f t="shared" si="133"/>
        <v>0</v>
      </c>
      <c r="J94" s="90">
        <f t="shared" si="134"/>
        <v>124</v>
      </c>
      <c r="K94" s="91">
        <v>0.78</v>
      </c>
      <c r="L94" s="92">
        <f t="shared" si="135"/>
        <v>96.72</v>
      </c>
      <c r="M94" s="93">
        <f t="shared" si="136"/>
        <v>48.95</v>
      </c>
      <c r="N94" s="94">
        <v>1.4444444444444446E-2</v>
      </c>
      <c r="O94" s="94">
        <f t="shared" si="137"/>
        <v>1.7911111111111113</v>
      </c>
      <c r="P94" s="92">
        <f t="shared" si="138"/>
        <v>87.674888888888901</v>
      </c>
      <c r="Q94" s="95">
        <f t="shared" si="139"/>
        <v>184.39488888888889</v>
      </c>
      <c r="R94" s="96"/>
    </row>
    <row r="95" spans="1:18" ht="18.899999999999999" customHeight="1" x14ac:dyDescent="0.3">
      <c r="A95" s="83" t="str">
        <f>IF(TRIM(H95)&lt;&gt;"",COUNTA(H$9:$H95)&amp;"","")</f>
        <v>55</v>
      </c>
      <c r="B95" s="192"/>
      <c r="C95" s="192"/>
      <c r="D95" s="192"/>
      <c r="E95" s="86" t="s">
        <v>200</v>
      </c>
      <c r="F95" s="87">
        <v>24</v>
      </c>
      <c r="G95" s="64">
        <f>6*4</f>
        <v>24</v>
      </c>
      <c r="H95" s="88" t="s">
        <v>159</v>
      </c>
      <c r="I95" s="89">
        <f t="shared" si="133"/>
        <v>0</v>
      </c>
      <c r="J95" s="90">
        <f t="shared" si="134"/>
        <v>24</v>
      </c>
      <c r="K95" s="91">
        <v>0.6</v>
      </c>
      <c r="L95" s="92">
        <f t="shared" si="135"/>
        <v>14.399999999999999</v>
      </c>
      <c r="M95" s="93">
        <f t="shared" si="136"/>
        <v>48.95</v>
      </c>
      <c r="N95" s="94">
        <v>1.1111111111111112E-2</v>
      </c>
      <c r="O95" s="94">
        <f t="shared" si="137"/>
        <v>0.26666666666666666</v>
      </c>
      <c r="P95" s="92">
        <f t="shared" si="138"/>
        <v>13.053333333333335</v>
      </c>
      <c r="Q95" s="95">
        <f t="shared" si="139"/>
        <v>27.453333333333333</v>
      </c>
      <c r="R95" s="96"/>
    </row>
    <row r="96" spans="1:18" ht="18.899999999999999" customHeight="1" x14ac:dyDescent="0.3">
      <c r="A96" s="83" t="str">
        <f>IF(TRIM(H96)&lt;&gt;"",COUNTA(H$9:$H96)&amp;"","")</f>
        <v/>
      </c>
      <c r="B96" s="192"/>
      <c r="C96" s="192"/>
      <c r="D96" s="192"/>
      <c r="E96" s="148" t="s">
        <v>211</v>
      </c>
      <c r="F96" s="87"/>
      <c r="H96" s="88"/>
      <c r="I96" s="89" t="str">
        <f t="shared" si="133"/>
        <v/>
      </c>
      <c r="J96" s="90" t="str">
        <f t="shared" si="134"/>
        <v/>
      </c>
      <c r="K96" s="91" t="s">
        <v>407</v>
      </c>
      <c r="L96" s="92" t="str">
        <f t="shared" si="135"/>
        <v/>
      </c>
      <c r="M96" s="93" t="str">
        <f t="shared" si="136"/>
        <v/>
      </c>
      <c r="N96" s="94" t="s">
        <v>407</v>
      </c>
      <c r="O96" s="94" t="str">
        <f t="shared" si="137"/>
        <v/>
      </c>
      <c r="P96" s="92" t="str">
        <f t="shared" si="138"/>
        <v/>
      </c>
      <c r="Q96" s="95" t="str">
        <f t="shared" si="139"/>
        <v/>
      </c>
      <c r="R96" s="96"/>
    </row>
    <row r="97" spans="1:18" ht="18.899999999999999" customHeight="1" x14ac:dyDescent="0.3">
      <c r="A97" s="83" t="str">
        <f>IF(TRIM(H97)&lt;&gt;"",COUNTA(H$9:$H97)&amp;"","")</f>
        <v>56</v>
      </c>
      <c r="B97" s="192"/>
      <c r="C97" s="192"/>
      <c r="D97" s="192"/>
      <c r="E97" s="86" t="s">
        <v>207</v>
      </c>
      <c r="F97" s="87">
        <v>11</v>
      </c>
      <c r="G97" s="64">
        <f>5.5*2</f>
        <v>11</v>
      </c>
      <c r="H97" s="88" t="s">
        <v>159</v>
      </c>
      <c r="I97" s="89">
        <f t="shared" si="133"/>
        <v>0</v>
      </c>
      <c r="J97" s="90">
        <f t="shared" si="134"/>
        <v>11</v>
      </c>
      <c r="K97" s="91">
        <v>1.5</v>
      </c>
      <c r="L97" s="92">
        <f t="shared" si="135"/>
        <v>16.5</v>
      </c>
      <c r="M97" s="93">
        <f t="shared" si="136"/>
        <v>48.95</v>
      </c>
      <c r="N97" s="94">
        <v>2.7777777777777776E-2</v>
      </c>
      <c r="O97" s="94">
        <f t="shared" si="137"/>
        <v>0.30555555555555552</v>
      </c>
      <c r="P97" s="92">
        <f t="shared" si="138"/>
        <v>14.956944444444444</v>
      </c>
      <c r="Q97" s="95">
        <f t="shared" si="139"/>
        <v>31.456944444444446</v>
      </c>
      <c r="R97" s="96"/>
    </row>
    <row r="98" spans="1:18" ht="18.899999999999999" customHeight="1" x14ac:dyDescent="0.3">
      <c r="A98" s="83" t="str">
        <f>IF(TRIM(H98)&lt;&gt;"",COUNTA(H$9:$H98)&amp;"","")</f>
        <v>57</v>
      </c>
      <c r="B98" s="192"/>
      <c r="C98" s="192"/>
      <c r="D98" s="192"/>
      <c r="E98" s="86" t="s">
        <v>208</v>
      </c>
      <c r="F98" s="87">
        <v>43</v>
      </c>
      <c r="G98" s="64">
        <f>5.5/1.33*10.34</f>
        <v>42.7593984962406</v>
      </c>
      <c r="H98" s="88" t="s">
        <v>159</v>
      </c>
      <c r="I98" s="89">
        <f t="shared" si="133"/>
        <v>0</v>
      </c>
      <c r="J98" s="90">
        <f t="shared" si="134"/>
        <v>43</v>
      </c>
      <c r="K98" s="91">
        <v>1.5</v>
      </c>
      <c r="L98" s="92">
        <f t="shared" si="135"/>
        <v>64.5</v>
      </c>
      <c r="M98" s="93">
        <f t="shared" si="136"/>
        <v>48.95</v>
      </c>
      <c r="N98" s="94">
        <v>2.7777777777777776E-2</v>
      </c>
      <c r="O98" s="94">
        <f t="shared" si="137"/>
        <v>1.1944444444444444</v>
      </c>
      <c r="P98" s="92">
        <f t="shared" si="138"/>
        <v>58.468055555555559</v>
      </c>
      <c r="Q98" s="95">
        <f t="shared" si="139"/>
        <v>122.96805555555557</v>
      </c>
      <c r="R98" s="96"/>
    </row>
    <row r="99" spans="1:18" ht="18.899999999999999" customHeight="1" x14ac:dyDescent="0.3">
      <c r="A99" s="83" t="str">
        <f>IF(TRIM(H99)&lt;&gt;"",COUNTA(H$9:$H99)&amp;"","")</f>
        <v>58</v>
      </c>
      <c r="B99" s="192"/>
      <c r="C99" s="192"/>
      <c r="D99" s="192"/>
      <c r="E99" s="86" t="s">
        <v>209</v>
      </c>
      <c r="F99" s="87">
        <v>57</v>
      </c>
      <c r="G99" s="64">
        <f>5.5*10.34</f>
        <v>56.87</v>
      </c>
      <c r="H99" s="88" t="s">
        <v>135</v>
      </c>
      <c r="I99" s="89">
        <f t="shared" si="133"/>
        <v>0</v>
      </c>
      <c r="J99" s="90">
        <f t="shared" si="134"/>
        <v>57</v>
      </c>
      <c r="K99" s="91">
        <v>0.84</v>
      </c>
      <c r="L99" s="92">
        <f t="shared" si="135"/>
        <v>47.879999999999995</v>
      </c>
      <c r="M99" s="93">
        <f t="shared" si="136"/>
        <v>48.95</v>
      </c>
      <c r="N99" s="94">
        <v>1.5555555555555553E-2</v>
      </c>
      <c r="O99" s="94">
        <f t="shared" si="137"/>
        <v>0.88666666666666649</v>
      </c>
      <c r="P99" s="92">
        <f t="shared" si="138"/>
        <v>43.402333333333324</v>
      </c>
      <c r="Q99" s="95">
        <f t="shared" si="139"/>
        <v>91.282333333333327</v>
      </c>
      <c r="R99" s="96"/>
    </row>
    <row r="100" spans="1:18" ht="18.899999999999999" customHeight="1" x14ac:dyDescent="0.3">
      <c r="A100" s="83" t="str">
        <f>IF(TRIM(H100)&lt;&gt;"",COUNTA(H$9:$H100)&amp;"","")</f>
        <v>59</v>
      </c>
      <c r="B100" s="192"/>
      <c r="C100" s="192"/>
      <c r="D100" s="192"/>
      <c r="E100" s="86" t="s">
        <v>199</v>
      </c>
      <c r="F100" s="87">
        <v>57</v>
      </c>
      <c r="G100" s="64">
        <f>5.5*10.34</f>
        <v>56.87</v>
      </c>
      <c r="H100" s="88" t="s">
        <v>135</v>
      </c>
      <c r="I100" s="89">
        <f t="shared" si="110"/>
        <v>0</v>
      </c>
      <c r="J100" s="90">
        <f t="shared" si="111"/>
        <v>57</v>
      </c>
      <c r="K100" s="91">
        <v>1.68</v>
      </c>
      <c r="L100" s="92">
        <f t="shared" si="113"/>
        <v>95.759999999999991</v>
      </c>
      <c r="M100" s="93">
        <f t="shared" si="114"/>
        <v>48.95</v>
      </c>
      <c r="N100" s="94">
        <v>3.1111111111111107E-2</v>
      </c>
      <c r="O100" s="94">
        <f t="shared" si="116"/>
        <v>1.773333333333333</v>
      </c>
      <c r="P100" s="92">
        <f t="shared" si="117"/>
        <v>86.804666666666648</v>
      </c>
      <c r="Q100" s="95">
        <f t="shared" si="118"/>
        <v>182.56466666666665</v>
      </c>
      <c r="R100" s="96"/>
    </row>
    <row r="101" spans="1:18" ht="18.899999999999999" customHeight="1" x14ac:dyDescent="0.3">
      <c r="A101" s="83" t="str">
        <f>IF(TRIM(H101)&lt;&gt;"",COUNTA(H$9:$H101)&amp;"","")</f>
        <v>60</v>
      </c>
      <c r="B101" s="192"/>
      <c r="C101" s="192"/>
      <c r="D101" s="192"/>
      <c r="E101" s="86" t="s">
        <v>210</v>
      </c>
      <c r="F101" s="87">
        <v>11</v>
      </c>
      <c r="G101" s="64">
        <f>5.5*2</f>
        <v>11</v>
      </c>
      <c r="H101" s="88" t="s">
        <v>159</v>
      </c>
      <c r="I101" s="89">
        <f t="shared" si="110"/>
        <v>0</v>
      </c>
      <c r="J101" s="90">
        <f t="shared" si="111"/>
        <v>11</v>
      </c>
      <c r="K101" s="91">
        <v>0.6</v>
      </c>
      <c r="L101" s="92">
        <f t="shared" si="113"/>
        <v>6.6</v>
      </c>
      <c r="M101" s="93">
        <f t="shared" si="114"/>
        <v>48.95</v>
      </c>
      <c r="N101" s="94">
        <v>1.1111111111111112E-2</v>
      </c>
      <c r="O101" s="94">
        <f t="shared" si="116"/>
        <v>0.12222222222222223</v>
      </c>
      <c r="P101" s="92">
        <f t="shared" si="117"/>
        <v>5.9827777777777786</v>
      </c>
      <c r="Q101" s="95">
        <f t="shared" si="118"/>
        <v>12.582777777777778</v>
      </c>
      <c r="R101" s="96"/>
    </row>
    <row r="102" spans="1:18" ht="18.899999999999999" customHeight="1" x14ac:dyDescent="0.3">
      <c r="A102" s="83" t="str">
        <f>IF(TRIM(H102)&lt;&gt;"",COUNTA(H$9:$H102)&amp;"","")</f>
        <v/>
      </c>
      <c r="B102" s="192"/>
      <c r="C102" s="192"/>
      <c r="D102" s="192"/>
      <c r="E102" s="148" t="s">
        <v>212</v>
      </c>
      <c r="F102" s="87"/>
      <c r="H102" s="88"/>
      <c r="I102" s="89" t="str">
        <f t="shared" ref="I102:I105" si="140">IF(F102=0,"",0)</f>
        <v/>
      </c>
      <c r="J102" s="90" t="str">
        <f t="shared" ref="J102:J105" si="141">IF(F102=0,"",F102+(F102*I102))</f>
        <v/>
      </c>
      <c r="K102" s="91" t="s">
        <v>407</v>
      </c>
      <c r="L102" s="92" t="str">
        <f t="shared" ref="L102:L105" si="142">IF(F102=0,"",K102*J102)</f>
        <v/>
      </c>
      <c r="M102" s="93" t="str">
        <f t="shared" ref="M102:M105" si="143">IF(F102=0,"",M$7)</f>
        <v/>
      </c>
      <c r="N102" s="94" t="s">
        <v>407</v>
      </c>
      <c r="O102" s="94" t="str">
        <f t="shared" ref="O102:O105" si="144">IF(F102=0,"",N102*J102)</f>
        <v/>
      </c>
      <c r="P102" s="92" t="str">
        <f t="shared" ref="P102:P105" si="145">IF(F102=0,"",O102*M102)</f>
        <v/>
      </c>
      <c r="Q102" s="95" t="str">
        <f t="shared" ref="Q102:Q105" si="146">IF(F102=0,"",L102+P102)</f>
        <v/>
      </c>
      <c r="R102" s="96"/>
    </row>
    <row r="103" spans="1:18" ht="18.899999999999999" customHeight="1" x14ac:dyDescent="0.3">
      <c r="A103" s="83" t="str">
        <f>IF(TRIM(H103)&lt;&gt;"",COUNTA(H$9:$H103)&amp;"","")</f>
        <v>61</v>
      </c>
      <c r="B103" s="192"/>
      <c r="C103" s="192"/>
      <c r="D103" s="192"/>
      <c r="E103" s="86" t="s">
        <v>196</v>
      </c>
      <c r="F103" s="87">
        <v>10</v>
      </c>
      <c r="G103" s="64">
        <f>5*2</f>
        <v>10</v>
      </c>
      <c r="H103" s="88" t="s">
        <v>159</v>
      </c>
      <c r="I103" s="89">
        <f t="shared" si="140"/>
        <v>0</v>
      </c>
      <c r="J103" s="90">
        <f t="shared" si="141"/>
        <v>10</v>
      </c>
      <c r="K103" s="91">
        <v>1.92</v>
      </c>
      <c r="L103" s="92">
        <f t="shared" si="142"/>
        <v>19.2</v>
      </c>
      <c r="M103" s="93">
        <f t="shared" si="143"/>
        <v>48.95</v>
      </c>
      <c r="N103" s="94">
        <v>3.5555555555555562E-2</v>
      </c>
      <c r="O103" s="94">
        <f t="shared" si="144"/>
        <v>0.35555555555555562</v>
      </c>
      <c r="P103" s="92">
        <f t="shared" si="145"/>
        <v>17.404444444444447</v>
      </c>
      <c r="Q103" s="95">
        <f t="shared" si="146"/>
        <v>36.604444444444447</v>
      </c>
      <c r="R103" s="96"/>
    </row>
    <row r="104" spans="1:18" ht="18.899999999999999" customHeight="1" x14ac:dyDescent="0.3">
      <c r="A104" s="83" t="str">
        <f>IF(TRIM(H104)&lt;&gt;"",COUNTA(H$9:$H104)&amp;"","")</f>
        <v>62</v>
      </c>
      <c r="B104" s="192"/>
      <c r="C104" s="192"/>
      <c r="D104" s="192"/>
      <c r="E104" s="86" t="s">
        <v>197</v>
      </c>
      <c r="F104" s="87">
        <v>27</v>
      </c>
      <c r="G104" s="64">
        <f>5/1.33*7</f>
        <v>26.315789473684212</v>
      </c>
      <c r="H104" s="88" t="s">
        <v>159</v>
      </c>
      <c r="I104" s="89">
        <f t="shared" si="140"/>
        <v>0</v>
      </c>
      <c r="J104" s="90">
        <f t="shared" si="141"/>
        <v>27</v>
      </c>
      <c r="K104" s="91">
        <v>1.92</v>
      </c>
      <c r="L104" s="92">
        <f t="shared" si="142"/>
        <v>51.839999999999996</v>
      </c>
      <c r="M104" s="93">
        <f t="shared" si="143"/>
        <v>48.95</v>
      </c>
      <c r="N104" s="94">
        <v>3.5555555555555562E-2</v>
      </c>
      <c r="O104" s="94">
        <f t="shared" si="144"/>
        <v>0.96000000000000019</v>
      </c>
      <c r="P104" s="92">
        <f t="shared" si="145"/>
        <v>46.992000000000012</v>
      </c>
      <c r="Q104" s="95">
        <f t="shared" si="146"/>
        <v>98.832000000000008</v>
      </c>
      <c r="R104" s="96"/>
    </row>
    <row r="105" spans="1:18" ht="18.899999999999999" customHeight="1" x14ac:dyDescent="0.3">
      <c r="A105" s="83" t="str">
        <f>IF(TRIM(H105)&lt;&gt;"",COUNTA(H$9:$H105)&amp;"","")</f>
        <v>63</v>
      </c>
      <c r="B105" s="192"/>
      <c r="C105" s="192"/>
      <c r="D105" s="192"/>
      <c r="E105" s="86" t="s">
        <v>198</v>
      </c>
      <c r="F105" s="87">
        <v>70</v>
      </c>
      <c r="G105" s="64">
        <f>5*7*2</f>
        <v>70</v>
      </c>
      <c r="H105" s="88" t="s">
        <v>135</v>
      </c>
      <c r="I105" s="89">
        <f t="shared" si="140"/>
        <v>0</v>
      </c>
      <c r="J105" s="90">
        <f t="shared" si="141"/>
        <v>70</v>
      </c>
      <c r="K105" s="91">
        <v>0.78</v>
      </c>
      <c r="L105" s="92">
        <f t="shared" si="142"/>
        <v>54.6</v>
      </c>
      <c r="M105" s="93">
        <f t="shared" si="143"/>
        <v>48.95</v>
      </c>
      <c r="N105" s="94">
        <v>1.4444444444444446E-2</v>
      </c>
      <c r="O105" s="94">
        <f t="shared" si="144"/>
        <v>1.0111111111111113</v>
      </c>
      <c r="P105" s="92">
        <f t="shared" si="145"/>
        <v>49.493888888888904</v>
      </c>
      <c r="Q105" s="95">
        <f t="shared" si="146"/>
        <v>104.0938888888889</v>
      </c>
      <c r="R105" s="96"/>
    </row>
    <row r="106" spans="1:18" ht="18.899999999999999" customHeight="1" x14ac:dyDescent="0.3">
      <c r="A106" s="83" t="str">
        <f>IF(TRIM(H106)&lt;&gt;"",COUNTA(H$9:$H106)&amp;"","")</f>
        <v>64</v>
      </c>
      <c r="B106" s="192"/>
      <c r="C106" s="192"/>
      <c r="D106" s="192"/>
      <c r="E106" s="86" t="s">
        <v>199</v>
      </c>
      <c r="F106" s="87">
        <v>35</v>
      </c>
      <c r="G106" s="64">
        <f>5*7</f>
        <v>35</v>
      </c>
      <c r="H106" s="88" t="s">
        <v>135</v>
      </c>
      <c r="I106" s="89">
        <f t="shared" si="110"/>
        <v>0</v>
      </c>
      <c r="J106" s="90">
        <f t="shared" si="111"/>
        <v>35</v>
      </c>
      <c r="K106" s="91">
        <v>1.68</v>
      </c>
      <c r="L106" s="92">
        <f t="shared" si="113"/>
        <v>58.8</v>
      </c>
      <c r="M106" s="93">
        <f t="shared" si="114"/>
        <v>48.95</v>
      </c>
      <c r="N106" s="94">
        <v>3.1111111111111107E-2</v>
      </c>
      <c r="O106" s="94">
        <f t="shared" si="116"/>
        <v>1.0888888888888888</v>
      </c>
      <c r="P106" s="92">
        <f t="shared" si="117"/>
        <v>53.301111111111112</v>
      </c>
      <c r="Q106" s="95">
        <f t="shared" si="118"/>
        <v>112.10111111111111</v>
      </c>
      <c r="R106" s="96"/>
    </row>
    <row r="107" spans="1:18" ht="18.899999999999999" customHeight="1" x14ac:dyDescent="0.3">
      <c r="A107" s="83" t="str">
        <f>IF(TRIM(H107)&lt;&gt;"",COUNTA(H$9:$H107)&amp;"","")</f>
        <v>65</v>
      </c>
      <c r="B107" s="193"/>
      <c r="C107" s="193"/>
      <c r="D107" s="193"/>
      <c r="E107" s="86" t="s">
        <v>200</v>
      </c>
      <c r="F107" s="87">
        <v>20</v>
      </c>
      <c r="G107" s="64">
        <f>5*4</f>
        <v>20</v>
      </c>
      <c r="H107" s="88" t="s">
        <v>159</v>
      </c>
      <c r="I107" s="89">
        <f t="shared" si="110"/>
        <v>0</v>
      </c>
      <c r="J107" s="90">
        <f t="shared" si="111"/>
        <v>20</v>
      </c>
      <c r="K107" s="91">
        <v>0.6</v>
      </c>
      <c r="L107" s="92">
        <f t="shared" si="113"/>
        <v>12</v>
      </c>
      <c r="M107" s="93">
        <f t="shared" si="114"/>
        <v>48.95</v>
      </c>
      <c r="N107" s="94">
        <v>1.1111111111111112E-2</v>
      </c>
      <c r="O107" s="94">
        <f t="shared" si="116"/>
        <v>0.22222222222222224</v>
      </c>
      <c r="P107" s="92">
        <f t="shared" si="117"/>
        <v>10.87777777777778</v>
      </c>
      <c r="Q107" s="95">
        <f t="shared" si="118"/>
        <v>22.87777777777778</v>
      </c>
      <c r="R107" s="96"/>
    </row>
    <row r="108" spans="1:18" ht="18.899999999999999" customHeight="1" x14ac:dyDescent="0.3">
      <c r="A108" s="83" t="str">
        <f>IF(TRIM(H108)&lt;&gt;"",COUNTA(H$9:$H108)&amp;"","")</f>
        <v>66</v>
      </c>
      <c r="B108" s="191" t="s">
        <v>255</v>
      </c>
      <c r="C108" s="191" t="s">
        <v>254</v>
      </c>
      <c r="D108" s="188"/>
      <c r="E108" s="86" t="s">
        <v>256</v>
      </c>
      <c r="F108" s="87">
        <v>1615</v>
      </c>
      <c r="H108" s="88" t="s">
        <v>135</v>
      </c>
      <c r="I108" s="89">
        <f t="shared" si="110"/>
        <v>0</v>
      </c>
      <c r="J108" s="90">
        <f t="shared" si="111"/>
        <v>1615</v>
      </c>
      <c r="K108" s="91">
        <v>1.68</v>
      </c>
      <c r="L108" s="92">
        <f t="shared" si="113"/>
        <v>2713.2</v>
      </c>
      <c r="M108" s="93">
        <f t="shared" si="114"/>
        <v>48.95</v>
      </c>
      <c r="N108" s="94">
        <v>3.1111111111111107E-2</v>
      </c>
      <c r="O108" s="94">
        <f t="shared" si="116"/>
        <v>50.24444444444444</v>
      </c>
      <c r="P108" s="92">
        <f t="shared" si="117"/>
        <v>2459.4655555555555</v>
      </c>
      <c r="Q108" s="95">
        <f t="shared" si="118"/>
        <v>5172.6655555555553</v>
      </c>
      <c r="R108" s="96"/>
    </row>
    <row r="109" spans="1:18" ht="18.899999999999999" customHeight="1" x14ac:dyDescent="0.3">
      <c r="A109" s="83" t="str">
        <f>IF(TRIM(H109)&lt;&gt;"",COUNTA(H$9:$H109)&amp;"","")</f>
        <v>67</v>
      </c>
      <c r="B109" s="193"/>
      <c r="C109" s="193"/>
      <c r="D109" s="193"/>
      <c r="E109" s="86" t="s">
        <v>257</v>
      </c>
      <c r="F109" s="87">
        <v>1615</v>
      </c>
      <c r="H109" s="88" t="s">
        <v>135</v>
      </c>
      <c r="I109" s="89">
        <f t="shared" ref="I109" si="147">IF(F109=0,"",0)</f>
        <v>0</v>
      </c>
      <c r="J109" s="90">
        <f t="shared" ref="J109" si="148">IF(F109=0,"",F109+(F109*I109))</f>
        <v>1615</v>
      </c>
      <c r="K109" s="91">
        <v>1.62</v>
      </c>
      <c r="L109" s="92">
        <f t="shared" ref="L109" si="149">IF(F109=0,"",K109*J109)</f>
        <v>2616.3000000000002</v>
      </c>
      <c r="M109" s="93">
        <f t="shared" ref="M109" si="150">IF(F109=0,"",M$7)</f>
        <v>48.95</v>
      </c>
      <c r="N109" s="94">
        <v>3.0000000000000002E-2</v>
      </c>
      <c r="O109" s="94">
        <f t="shared" ref="O109" si="151">IF(F109=0,"",N109*J109)</f>
        <v>48.45</v>
      </c>
      <c r="P109" s="92">
        <f t="shared" ref="P109" si="152">IF(F109=0,"",O109*M109)</f>
        <v>2371.6275000000001</v>
      </c>
      <c r="Q109" s="95">
        <f t="shared" ref="Q109" si="153">IF(F109=0,"",L109+P109)</f>
        <v>4987.9274999999998</v>
      </c>
      <c r="R109" s="96"/>
    </row>
    <row r="110" spans="1:18" ht="18.899999999999999" customHeight="1" x14ac:dyDescent="0.3">
      <c r="A110" s="83" t="str">
        <f>IF(TRIM(H110)&lt;&gt;"",COUNTA(H$9:$H110)&amp;"","")</f>
        <v/>
      </c>
      <c r="B110" s="84"/>
      <c r="C110" s="84"/>
      <c r="D110" s="85"/>
      <c r="E110" s="86"/>
      <c r="F110" s="87"/>
      <c r="H110" s="88"/>
      <c r="I110" s="89" t="str">
        <f t="shared" si="110"/>
        <v/>
      </c>
      <c r="J110" s="90" t="str">
        <f t="shared" si="111"/>
        <v/>
      </c>
      <c r="K110" s="91" t="s">
        <v>407</v>
      </c>
      <c r="L110" s="92" t="str">
        <f t="shared" si="113"/>
        <v/>
      </c>
      <c r="M110" s="93" t="str">
        <f t="shared" si="114"/>
        <v/>
      </c>
      <c r="N110" s="94" t="s">
        <v>407</v>
      </c>
      <c r="O110" s="94" t="str">
        <f t="shared" si="116"/>
        <v/>
      </c>
      <c r="P110" s="92" t="str">
        <f t="shared" si="117"/>
        <v/>
      </c>
      <c r="Q110" s="95" t="str">
        <f t="shared" si="118"/>
        <v/>
      </c>
      <c r="R110" s="96"/>
    </row>
    <row r="111" spans="1:18" ht="18.899999999999999" customHeight="1" x14ac:dyDescent="0.3">
      <c r="A111" s="83" t="str">
        <f>IF(TRIM(H111)&lt;&gt;"",COUNTA(H$9:$H111)&amp;"","")</f>
        <v>68</v>
      </c>
      <c r="B111" s="84"/>
      <c r="C111" s="84"/>
      <c r="D111" s="114"/>
      <c r="E111" s="115" t="s">
        <v>54</v>
      </c>
      <c r="F111" s="87">
        <f>((3046/32)*10)/180</f>
        <v>5.2881944444444446</v>
      </c>
      <c r="H111" s="88" t="s">
        <v>51</v>
      </c>
      <c r="I111" s="89">
        <f t="shared" si="110"/>
        <v>0</v>
      </c>
      <c r="J111" s="90">
        <f t="shared" si="111"/>
        <v>5.2881944444444446</v>
      </c>
      <c r="K111" s="91">
        <v>12</v>
      </c>
      <c r="L111" s="92">
        <f t="shared" si="113"/>
        <v>63.458333333333336</v>
      </c>
      <c r="M111" s="93">
        <f t="shared" si="114"/>
        <v>48.95</v>
      </c>
      <c r="N111" s="94">
        <v>8.3333333333333329E-2</v>
      </c>
      <c r="O111" s="94">
        <f t="shared" si="116"/>
        <v>0.44068287037037035</v>
      </c>
      <c r="P111" s="92">
        <f t="shared" si="117"/>
        <v>21.571426504629631</v>
      </c>
      <c r="Q111" s="95">
        <f t="shared" si="118"/>
        <v>85.02975983796297</v>
      </c>
      <c r="R111" s="116"/>
    </row>
    <row r="112" spans="1:18" ht="18.899999999999999" customHeight="1" x14ac:dyDescent="0.3">
      <c r="A112" s="83" t="str">
        <f>IF(TRIM(H112)&lt;&gt;"",COUNTA(H$9:$H112)&amp;"","")</f>
        <v>69</v>
      </c>
      <c r="B112" s="84"/>
      <c r="C112" s="84"/>
      <c r="D112" s="114"/>
      <c r="E112" s="115" t="s">
        <v>49</v>
      </c>
      <c r="F112" s="87">
        <f>(3046*0.053)/12</f>
        <v>13.453166666666666</v>
      </c>
      <c r="H112" s="88" t="s">
        <v>52</v>
      </c>
      <c r="I112" s="89">
        <f t="shared" si="110"/>
        <v>0</v>
      </c>
      <c r="J112" s="90">
        <f t="shared" si="111"/>
        <v>13.453166666666666</v>
      </c>
      <c r="K112" s="91">
        <v>35</v>
      </c>
      <c r="L112" s="92">
        <f t="shared" si="113"/>
        <v>470.86083333333335</v>
      </c>
      <c r="M112" s="93">
        <f t="shared" si="114"/>
        <v>48.95</v>
      </c>
      <c r="N112" s="94">
        <v>0.66666666666666663</v>
      </c>
      <c r="O112" s="94">
        <f t="shared" si="116"/>
        <v>8.9687777777777775</v>
      </c>
      <c r="P112" s="92">
        <f t="shared" si="117"/>
        <v>439.02167222222221</v>
      </c>
      <c r="Q112" s="95">
        <f t="shared" si="118"/>
        <v>909.88250555555555</v>
      </c>
      <c r="R112" s="116"/>
    </row>
    <row r="113" spans="1:23" ht="18.899999999999999" customHeight="1" x14ac:dyDescent="0.3">
      <c r="A113" s="83" t="str">
        <f>IF(TRIM(H113)&lt;&gt;"",COUNTA(H$9:$H113)&amp;"","")</f>
        <v>70</v>
      </c>
      <c r="B113" s="84"/>
      <c r="C113" s="84"/>
      <c r="D113" s="114"/>
      <c r="E113" s="115" t="s">
        <v>50</v>
      </c>
      <c r="F113" s="87">
        <f>((3046/32)*45)/244</f>
        <v>17.555071721311474</v>
      </c>
      <c r="H113" s="88" t="s">
        <v>53</v>
      </c>
      <c r="I113" s="89">
        <f t="shared" si="110"/>
        <v>0</v>
      </c>
      <c r="J113" s="90">
        <f t="shared" si="111"/>
        <v>17.555071721311474</v>
      </c>
      <c r="K113" s="91">
        <v>13.2</v>
      </c>
      <c r="L113" s="92">
        <f t="shared" si="113"/>
        <v>231.72694672131146</v>
      </c>
      <c r="M113" s="93">
        <f t="shared" si="114"/>
        <v>48.95</v>
      </c>
      <c r="N113" s="94">
        <v>8.1333333333333341E-2</v>
      </c>
      <c r="O113" s="94">
        <f t="shared" si="116"/>
        <v>1.4278125000000002</v>
      </c>
      <c r="P113" s="92">
        <f t="shared" si="117"/>
        <v>69.891421875000006</v>
      </c>
      <c r="Q113" s="95">
        <f t="shared" si="118"/>
        <v>301.61836859631148</v>
      </c>
      <c r="R113" s="116"/>
    </row>
    <row r="114" spans="1:23" s="113" customFormat="1" ht="19.2" customHeight="1" x14ac:dyDescent="0.3">
      <c r="A114" s="83" t="str">
        <f>IF(TRIM(H114)&lt;&gt;"",COUNTA(H$9:$H114)&amp;"","")</f>
        <v/>
      </c>
      <c r="B114" s="112"/>
      <c r="C114" s="112"/>
      <c r="D114" s="85">
        <v>93013</v>
      </c>
      <c r="E114" s="160" t="s">
        <v>241</v>
      </c>
      <c r="F114" s="87"/>
      <c r="H114" s="88"/>
      <c r="I114" s="89" t="str">
        <f t="shared" si="110"/>
        <v/>
      </c>
      <c r="J114" s="90" t="str">
        <f t="shared" si="111"/>
        <v/>
      </c>
      <c r="K114" s="91" t="s">
        <v>407</v>
      </c>
      <c r="L114" s="92" t="str">
        <f t="shared" si="113"/>
        <v/>
      </c>
      <c r="M114" s="93" t="str">
        <f t="shared" si="114"/>
        <v/>
      </c>
      <c r="N114" s="94" t="s">
        <v>407</v>
      </c>
      <c r="O114" s="94" t="str">
        <f t="shared" si="116"/>
        <v/>
      </c>
      <c r="P114" s="92" t="str">
        <f t="shared" si="117"/>
        <v/>
      </c>
      <c r="Q114" s="95" t="str">
        <f t="shared" si="118"/>
        <v/>
      </c>
      <c r="R114" s="96"/>
      <c r="S114" s="64"/>
      <c r="T114" s="64"/>
      <c r="U114" s="64"/>
      <c r="V114" s="64"/>
      <c r="W114" s="64"/>
    </row>
    <row r="115" spans="1:23" ht="27.6" x14ac:dyDescent="0.3">
      <c r="A115" s="83" t="str">
        <f>IF(TRIM(H115)&lt;&gt;"",COUNTA(H$9:$H115)&amp;"","")</f>
        <v>71</v>
      </c>
      <c r="B115" s="84" t="s">
        <v>228</v>
      </c>
      <c r="C115" s="150" t="s">
        <v>242</v>
      </c>
      <c r="D115" s="85"/>
      <c r="E115" s="86" t="s">
        <v>272</v>
      </c>
      <c r="F115" s="87">
        <v>22</v>
      </c>
      <c r="H115" s="88" t="s">
        <v>135</v>
      </c>
      <c r="I115" s="89">
        <f t="shared" si="110"/>
        <v>0</v>
      </c>
      <c r="J115" s="90">
        <f t="shared" si="111"/>
        <v>22</v>
      </c>
      <c r="K115" s="91">
        <v>14</v>
      </c>
      <c r="L115" s="92">
        <f t="shared" si="113"/>
        <v>308</v>
      </c>
      <c r="M115" s="93">
        <f t="shared" si="114"/>
        <v>48.95</v>
      </c>
      <c r="N115" s="94">
        <v>0.1111111111111111</v>
      </c>
      <c r="O115" s="94">
        <f t="shared" si="116"/>
        <v>2.4444444444444442</v>
      </c>
      <c r="P115" s="92">
        <f t="shared" si="117"/>
        <v>119.65555555555555</v>
      </c>
      <c r="Q115" s="95">
        <f t="shared" si="118"/>
        <v>427.65555555555557</v>
      </c>
      <c r="R115" s="96"/>
    </row>
    <row r="116" spans="1:23" ht="82.8" x14ac:dyDescent="0.3">
      <c r="A116" s="83" t="str">
        <f>IF(TRIM(H116)&lt;&gt;"",COUNTA(H$9:$H116)&amp;"","")</f>
        <v>72</v>
      </c>
      <c r="B116" s="191" t="s">
        <v>244</v>
      </c>
      <c r="C116" s="191" t="s">
        <v>242</v>
      </c>
      <c r="D116" s="188"/>
      <c r="E116" s="86" t="s">
        <v>409</v>
      </c>
      <c r="F116" s="87">
        <v>50</v>
      </c>
      <c r="H116" s="88" t="s">
        <v>135</v>
      </c>
      <c r="I116" s="89">
        <f t="shared" si="110"/>
        <v>0</v>
      </c>
      <c r="J116" s="90">
        <f t="shared" si="111"/>
        <v>50</v>
      </c>
      <c r="K116" s="91">
        <v>16</v>
      </c>
      <c r="L116" s="92">
        <f t="shared" si="113"/>
        <v>800</v>
      </c>
      <c r="M116" s="93">
        <f t="shared" si="114"/>
        <v>48.95</v>
      </c>
      <c r="N116" s="94">
        <v>0.1111111111111111</v>
      </c>
      <c r="O116" s="94">
        <f t="shared" si="116"/>
        <v>5.5555555555555554</v>
      </c>
      <c r="P116" s="92">
        <f t="shared" si="117"/>
        <v>271.94444444444446</v>
      </c>
      <c r="Q116" s="95">
        <f t="shared" si="118"/>
        <v>1071.9444444444443</v>
      </c>
      <c r="R116" s="96"/>
    </row>
    <row r="117" spans="1:23" ht="55.2" x14ac:dyDescent="0.3">
      <c r="A117" s="83" t="str">
        <f>IF(TRIM(H117)&lt;&gt;"",COUNTA(H$9:$H117)&amp;"","")</f>
        <v>73</v>
      </c>
      <c r="B117" s="192"/>
      <c r="C117" s="192"/>
      <c r="D117" s="192"/>
      <c r="E117" s="86" t="s">
        <v>410</v>
      </c>
      <c r="F117" s="87">
        <v>135</v>
      </c>
      <c r="H117" s="88" t="s">
        <v>135</v>
      </c>
      <c r="I117" s="89">
        <f t="shared" si="110"/>
        <v>0</v>
      </c>
      <c r="J117" s="90">
        <f t="shared" si="111"/>
        <v>135</v>
      </c>
      <c r="K117" s="91">
        <v>16</v>
      </c>
      <c r="L117" s="92">
        <f t="shared" si="113"/>
        <v>2160</v>
      </c>
      <c r="M117" s="93">
        <f t="shared" si="114"/>
        <v>48.95</v>
      </c>
      <c r="N117" s="94">
        <v>0.1111111111111111</v>
      </c>
      <c r="O117" s="94">
        <f t="shared" si="116"/>
        <v>15</v>
      </c>
      <c r="P117" s="92">
        <f t="shared" si="117"/>
        <v>734.25</v>
      </c>
      <c r="Q117" s="95">
        <f t="shared" si="118"/>
        <v>2894.25</v>
      </c>
      <c r="R117" s="96"/>
    </row>
    <row r="118" spans="1:23" ht="18.899999999999999" customHeight="1" x14ac:dyDescent="0.3">
      <c r="A118" s="83" t="str">
        <f>IF(TRIM(H118)&lt;&gt;"",COUNTA(H$9:$H118)&amp;"","")</f>
        <v>74</v>
      </c>
      <c r="B118" s="192"/>
      <c r="C118" s="192"/>
      <c r="D118" s="192"/>
      <c r="E118" s="86" t="s">
        <v>243</v>
      </c>
      <c r="F118" s="87">
        <v>36</v>
      </c>
      <c r="H118" s="88" t="s">
        <v>159</v>
      </c>
      <c r="I118" s="89">
        <f t="shared" si="110"/>
        <v>0</v>
      </c>
      <c r="J118" s="90">
        <f t="shared" si="111"/>
        <v>36</v>
      </c>
      <c r="K118" s="91">
        <v>1.68</v>
      </c>
      <c r="L118" s="92">
        <f t="shared" si="113"/>
        <v>60.48</v>
      </c>
      <c r="M118" s="93">
        <f t="shared" si="114"/>
        <v>48.95</v>
      </c>
      <c r="N118" s="94">
        <v>3.1111111111111107E-2</v>
      </c>
      <c r="O118" s="94">
        <f t="shared" si="116"/>
        <v>1.1199999999999999</v>
      </c>
      <c r="P118" s="92">
        <f t="shared" si="117"/>
        <v>54.823999999999998</v>
      </c>
      <c r="Q118" s="95">
        <f t="shared" si="118"/>
        <v>115.304</v>
      </c>
      <c r="R118" s="96"/>
    </row>
    <row r="119" spans="1:23" ht="18.899999999999999" customHeight="1" x14ac:dyDescent="0.3">
      <c r="A119" s="83" t="str">
        <f>IF(TRIM(H119)&lt;&gt;"",COUNTA(H$9:$H119)&amp;"","")</f>
        <v>75</v>
      </c>
      <c r="B119" s="193"/>
      <c r="C119" s="193"/>
      <c r="D119" s="193"/>
      <c r="E119" s="86" t="s">
        <v>245</v>
      </c>
      <c r="F119" s="87">
        <v>16</v>
      </c>
      <c r="H119" s="88" t="s">
        <v>159</v>
      </c>
      <c r="I119" s="89">
        <f t="shared" si="110"/>
        <v>0</v>
      </c>
      <c r="J119" s="90">
        <f t="shared" si="111"/>
        <v>16</v>
      </c>
      <c r="K119" s="91">
        <v>1.65</v>
      </c>
      <c r="L119" s="92">
        <f t="shared" si="113"/>
        <v>26.4</v>
      </c>
      <c r="M119" s="93">
        <f t="shared" si="114"/>
        <v>48.95</v>
      </c>
      <c r="N119" s="94">
        <v>3.0555555555555558E-2</v>
      </c>
      <c r="O119" s="94">
        <f t="shared" si="116"/>
        <v>0.48888888888888893</v>
      </c>
      <c r="P119" s="92">
        <f t="shared" si="117"/>
        <v>23.931111111111115</v>
      </c>
      <c r="Q119" s="95">
        <f t="shared" si="118"/>
        <v>50.331111111111113</v>
      </c>
      <c r="R119" s="96"/>
    </row>
    <row r="120" spans="1:23" s="113" customFormat="1" ht="19.2" customHeight="1" x14ac:dyDescent="0.3">
      <c r="A120" s="83" t="str">
        <f>IF(TRIM(H120)&lt;&gt;"",COUNTA(H$9:$H120)&amp;"","")</f>
        <v/>
      </c>
      <c r="B120" s="112"/>
      <c r="C120" s="112"/>
      <c r="D120" s="85" t="s">
        <v>162</v>
      </c>
      <c r="E120" s="160" t="s">
        <v>163</v>
      </c>
      <c r="F120" s="87"/>
      <c r="H120" s="88"/>
      <c r="I120" s="89" t="str">
        <f t="shared" ref="I120:I123" si="154">IF(F120=0,"",0)</f>
        <v/>
      </c>
      <c r="J120" s="90" t="str">
        <f t="shared" ref="J120:J123" si="155">IF(F120=0,"",F120+(F120*I120))</f>
        <v/>
      </c>
      <c r="K120" s="91" t="s">
        <v>407</v>
      </c>
      <c r="L120" s="92" t="str">
        <f t="shared" ref="L120:L123" si="156">IF(F120=0,"",K120*J120)</f>
        <v/>
      </c>
      <c r="M120" s="93" t="str">
        <f t="shared" ref="M120:M123" si="157">IF(F120=0,"",M$7)</f>
        <v/>
      </c>
      <c r="N120" s="94" t="s">
        <v>407</v>
      </c>
      <c r="O120" s="94" t="str">
        <f t="shared" ref="O120:O123" si="158">IF(F120=0,"",N120*J120)</f>
        <v/>
      </c>
      <c r="P120" s="92" t="str">
        <f t="shared" ref="P120:P123" si="159">IF(F120=0,"",O120*M120)</f>
        <v/>
      </c>
      <c r="Q120" s="95" t="str">
        <f t="shared" ref="Q120:Q123" si="160">IF(F120=0,"",L120+P120)</f>
        <v/>
      </c>
      <c r="R120" s="96"/>
      <c r="S120" s="64"/>
      <c r="T120" s="64"/>
      <c r="U120" s="64"/>
      <c r="V120" s="64"/>
      <c r="W120" s="64"/>
    </row>
    <row r="121" spans="1:23" ht="18.899999999999999" customHeight="1" x14ac:dyDescent="0.3">
      <c r="A121" s="83" t="str">
        <f>IF(TRIM(H121)&lt;&gt;"",COUNTA(H$9:$H121)&amp;"","")</f>
        <v>76</v>
      </c>
      <c r="B121" s="84" t="s">
        <v>224</v>
      </c>
      <c r="C121" s="84"/>
      <c r="D121" s="85"/>
      <c r="E121" s="86" t="s">
        <v>259</v>
      </c>
      <c r="F121" s="87">
        <v>110</v>
      </c>
      <c r="H121" s="88" t="s">
        <v>135</v>
      </c>
      <c r="I121" s="89">
        <f t="shared" si="154"/>
        <v>0</v>
      </c>
      <c r="J121" s="90">
        <f t="shared" si="155"/>
        <v>110</v>
      </c>
      <c r="K121" s="91">
        <v>6.3</v>
      </c>
      <c r="L121" s="92">
        <f t="shared" si="156"/>
        <v>693</v>
      </c>
      <c r="M121" s="93">
        <f t="shared" si="157"/>
        <v>48.95</v>
      </c>
      <c r="N121" s="94">
        <v>0.11666666666666667</v>
      </c>
      <c r="O121" s="94">
        <f t="shared" si="158"/>
        <v>12.833333333333334</v>
      </c>
      <c r="P121" s="92">
        <f t="shared" si="159"/>
        <v>628.19166666666672</v>
      </c>
      <c r="Q121" s="95">
        <f t="shared" si="160"/>
        <v>1321.1916666666666</v>
      </c>
      <c r="R121" s="96"/>
    </row>
    <row r="122" spans="1:23" ht="18.899999999999999" customHeight="1" x14ac:dyDescent="0.3">
      <c r="A122" s="83" t="str">
        <f>IF(TRIM(H122)&lt;&gt;"",COUNTA(H$9:$H122)&amp;"","")</f>
        <v>77</v>
      </c>
      <c r="B122" s="84" t="s">
        <v>224</v>
      </c>
      <c r="C122" s="84"/>
      <c r="D122" s="85"/>
      <c r="E122" s="86" t="s">
        <v>260</v>
      </c>
      <c r="F122" s="87">
        <v>1385</v>
      </c>
      <c r="H122" s="88" t="s">
        <v>135</v>
      </c>
      <c r="I122" s="89">
        <f t="shared" si="154"/>
        <v>0</v>
      </c>
      <c r="J122" s="90">
        <f t="shared" si="155"/>
        <v>1385</v>
      </c>
      <c r="K122" s="91">
        <v>5.6999999999999993</v>
      </c>
      <c r="L122" s="92">
        <f t="shared" si="156"/>
        <v>7894.4999999999991</v>
      </c>
      <c r="M122" s="93">
        <f t="shared" si="157"/>
        <v>48.95</v>
      </c>
      <c r="N122" s="94">
        <v>0.10555555555555557</v>
      </c>
      <c r="O122" s="94">
        <f t="shared" si="158"/>
        <v>146.19444444444446</v>
      </c>
      <c r="P122" s="92">
        <f t="shared" si="159"/>
        <v>7156.2180555555569</v>
      </c>
      <c r="Q122" s="95">
        <f t="shared" si="160"/>
        <v>15050.718055555557</v>
      </c>
      <c r="R122" s="96"/>
    </row>
    <row r="123" spans="1:23" ht="18.899999999999999" customHeight="1" x14ac:dyDescent="0.3">
      <c r="A123" s="83" t="str">
        <f>IF(TRIM(H123)&lt;&gt;"",COUNTA(H$9:$H123)&amp;"","")</f>
        <v>78</v>
      </c>
      <c r="B123" s="84" t="s">
        <v>224</v>
      </c>
      <c r="C123" s="84"/>
      <c r="D123" s="85"/>
      <c r="E123" s="86" t="s">
        <v>262</v>
      </c>
      <c r="F123" s="87">
        <v>35</v>
      </c>
      <c r="H123" s="88" t="s">
        <v>159</v>
      </c>
      <c r="I123" s="89">
        <f t="shared" si="154"/>
        <v>0</v>
      </c>
      <c r="J123" s="90">
        <f t="shared" si="155"/>
        <v>35</v>
      </c>
      <c r="K123" s="91">
        <v>1.5</v>
      </c>
      <c r="L123" s="92">
        <f t="shared" si="156"/>
        <v>52.5</v>
      </c>
      <c r="M123" s="93">
        <f t="shared" si="157"/>
        <v>48.95</v>
      </c>
      <c r="N123" s="94">
        <v>2.7777777777777776E-2</v>
      </c>
      <c r="O123" s="94">
        <f t="shared" si="158"/>
        <v>0.97222222222222221</v>
      </c>
      <c r="P123" s="92">
        <f t="shared" si="159"/>
        <v>47.590277777777779</v>
      </c>
      <c r="Q123" s="95">
        <f t="shared" si="160"/>
        <v>100.09027777777777</v>
      </c>
      <c r="R123" s="96"/>
    </row>
    <row r="124" spans="1:23" ht="18.899999999999999" customHeight="1" x14ac:dyDescent="0.3">
      <c r="A124" s="83" t="str">
        <f>IF(TRIM(H124)&lt;&gt;"",COUNTA(H$9:$H124)&amp;"","")</f>
        <v>79</v>
      </c>
      <c r="B124" s="84" t="s">
        <v>263</v>
      </c>
      <c r="C124" s="84"/>
      <c r="D124" s="85"/>
      <c r="E124" s="86" t="s">
        <v>411</v>
      </c>
      <c r="F124" s="87">
        <v>160</v>
      </c>
      <c r="H124" s="88" t="s">
        <v>159</v>
      </c>
      <c r="I124" s="89">
        <f t="shared" si="110"/>
        <v>0</v>
      </c>
      <c r="J124" s="90">
        <f t="shared" si="111"/>
        <v>160</v>
      </c>
      <c r="K124" s="91">
        <v>1.56</v>
      </c>
      <c r="L124" s="92">
        <f t="shared" si="113"/>
        <v>249.60000000000002</v>
      </c>
      <c r="M124" s="93">
        <f t="shared" si="114"/>
        <v>48.95</v>
      </c>
      <c r="N124" s="94">
        <v>2.8888888888888891E-2</v>
      </c>
      <c r="O124" s="94">
        <f t="shared" si="116"/>
        <v>4.6222222222222227</v>
      </c>
      <c r="P124" s="92">
        <f t="shared" si="117"/>
        <v>226.25777777777782</v>
      </c>
      <c r="Q124" s="95">
        <f t="shared" si="118"/>
        <v>475.85777777777787</v>
      </c>
      <c r="R124" s="96"/>
    </row>
    <row r="125" spans="1:23" s="113" customFormat="1" ht="19.2" customHeight="1" x14ac:dyDescent="0.3">
      <c r="A125" s="83" t="str">
        <f>IF(TRIM(H125)&lt;&gt;"",COUNTA(H$9:$H125)&amp;"","")</f>
        <v/>
      </c>
      <c r="B125" s="112"/>
      <c r="C125" s="112"/>
      <c r="D125" s="85" t="s">
        <v>89</v>
      </c>
      <c r="E125" s="160" t="s">
        <v>88</v>
      </c>
      <c r="F125" s="87"/>
      <c r="H125" s="88"/>
      <c r="I125" s="89" t="str">
        <f t="shared" ref="I125:I130" si="161">IF(F125=0,"",0)</f>
        <v/>
      </c>
      <c r="J125" s="90" t="str">
        <f t="shared" ref="J125:J131" si="162">IF(F125=0,"",F125+(F125*I125))</f>
        <v/>
      </c>
      <c r="K125" s="91" t="s">
        <v>407</v>
      </c>
      <c r="L125" s="92" t="str">
        <f t="shared" ref="L125:L131" si="163">IF(F125=0,"",K125*J125)</f>
        <v/>
      </c>
      <c r="M125" s="93" t="str">
        <f t="shared" ref="M125:M131" si="164">IF(F125=0,"",M$7)</f>
        <v/>
      </c>
      <c r="N125" s="94" t="s">
        <v>407</v>
      </c>
      <c r="O125" s="94" t="str">
        <f t="shared" ref="O125:O131" si="165">IF(F125=0,"",N125*J125)</f>
        <v/>
      </c>
      <c r="P125" s="92" t="str">
        <f t="shared" ref="P125:P131" si="166">IF(F125=0,"",O125*M125)</f>
        <v/>
      </c>
      <c r="Q125" s="95" t="str">
        <f t="shared" ref="Q125:Q131" si="167">IF(F125=0,"",L125+P125)</f>
        <v/>
      </c>
      <c r="R125" s="96"/>
      <c r="S125" s="64"/>
      <c r="T125" s="64"/>
      <c r="U125" s="64"/>
      <c r="V125" s="64"/>
      <c r="W125" s="64"/>
    </row>
    <row r="126" spans="1:23" ht="18.899999999999999" customHeight="1" x14ac:dyDescent="0.3">
      <c r="A126" s="83" t="str">
        <f>IF(TRIM(H126)&lt;&gt;"",COUNTA(H$9:$H126)&amp;"","")</f>
        <v>80</v>
      </c>
      <c r="B126" s="84" t="s">
        <v>244</v>
      </c>
      <c r="C126" s="191" t="s">
        <v>242</v>
      </c>
      <c r="D126" s="188"/>
      <c r="E126" s="86" t="s">
        <v>261</v>
      </c>
      <c r="F126" s="87">
        <v>4005</v>
      </c>
      <c r="G126" s="64">
        <f>60+253*9.5+7.5*205</f>
        <v>4001</v>
      </c>
      <c r="H126" s="88" t="s">
        <v>135</v>
      </c>
      <c r="I126" s="89">
        <f t="shared" si="161"/>
        <v>0</v>
      </c>
      <c r="J126" s="90">
        <f t="shared" si="162"/>
        <v>4005</v>
      </c>
      <c r="K126" s="91">
        <v>0.81</v>
      </c>
      <c r="L126" s="92">
        <f t="shared" si="163"/>
        <v>3244.05</v>
      </c>
      <c r="M126" s="93">
        <f t="shared" si="164"/>
        <v>48.95</v>
      </c>
      <c r="N126" s="94">
        <v>1.5000000000000001E-2</v>
      </c>
      <c r="O126" s="94">
        <f t="shared" si="165"/>
        <v>60.075000000000003</v>
      </c>
      <c r="P126" s="92">
        <f t="shared" si="166"/>
        <v>2940.6712500000003</v>
      </c>
      <c r="Q126" s="95">
        <f t="shared" si="167"/>
        <v>6184.7212500000005</v>
      </c>
      <c r="R126" s="96"/>
    </row>
    <row r="127" spans="1:23" ht="18.899999999999999" customHeight="1" x14ac:dyDescent="0.3">
      <c r="A127" s="83" t="str">
        <f>IF(TRIM(H127)&lt;&gt;"",COUNTA(H$9:$H127)&amp;"","")</f>
        <v>81</v>
      </c>
      <c r="B127" s="84" t="s">
        <v>255</v>
      </c>
      <c r="C127" s="193"/>
      <c r="D127" s="193"/>
      <c r="E127" s="86" t="s">
        <v>258</v>
      </c>
      <c r="F127" s="87">
        <v>2270</v>
      </c>
      <c r="G127" s="64">
        <f>1615+655</f>
        <v>2270</v>
      </c>
      <c r="H127" s="88" t="s">
        <v>135</v>
      </c>
      <c r="I127" s="89">
        <f t="shared" si="161"/>
        <v>0</v>
      </c>
      <c r="J127" s="90">
        <f t="shared" si="162"/>
        <v>2270</v>
      </c>
      <c r="K127" s="91">
        <v>0.96</v>
      </c>
      <c r="L127" s="92">
        <f t="shared" si="163"/>
        <v>2179.1999999999998</v>
      </c>
      <c r="M127" s="93">
        <f t="shared" si="164"/>
        <v>48.95</v>
      </c>
      <c r="N127" s="94">
        <v>1.7777777777777781E-2</v>
      </c>
      <c r="O127" s="94">
        <f t="shared" si="165"/>
        <v>40.355555555555561</v>
      </c>
      <c r="P127" s="92">
        <f t="shared" si="166"/>
        <v>1975.4044444444448</v>
      </c>
      <c r="Q127" s="95">
        <f t="shared" si="167"/>
        <v>4154.6044444444451</v>
      </c>
      <c r="R127" s="96"/>
    </row>
    <row r="128" spans="1:23" ht="18.899999999999999" customHeight="1" x14ac:dyDescent="0.3">
      <c r="A128" s="83" t="str">
        <f>IF(TRIM(H128)&lt;&gt;"",COUNTA(H$9:$H128)&amp;"","")</f>
        <v>82</v>
      </c>
      <c r="B128" s="84" t="s">
        <v>215</v>
      </c>
      <c r="C128" s="84" t="s">
        <v>216</v>
      </c>
      <c r="D128" s="85"/>
      <c r="E128" s="86" t="s">
        <v>222</v>
      </c>
      <c r="F128" s="87">
        <v>9</v>
      </c>
      <c r="H128" s="88" t="s">
        <v>181</v>
      </c>
      <c r="I128" s="89">
        <f t="shared" si="161"/>
        <v>0</v>
      </c>
      <c r="J128" s="90">
        <f t="shared" si="162"/>
        <v>9</v>
      </c>
      <c r="K128" s="91">
        <v>51</v>
      </c>
      <c r="L128" s="92">
        <f t="shared" si="163"/>
        <v>459</v>
      </c>
      <c r="M128" s="93">
        <f t="shared" si="164"/>
        <v>48.95</v>
      </c>
      <c r="N128" s="94">
        <v>0.94444444444444442</v>
      </c>
      <c r="O128" s="94">
        <f t="shared" si="165"/>
        <v>8.5</v>
      </c>
      <c r="P128" s="92">
        <f t="shared" si="166"/>
        <v>416.07500000000005</v>
      </c>
      <c r="Q128" s="95">
        <f t="shared" si="167"/>
        <v>875.07500000000005</v>
      </c>
      <c r="R128" s="96"/>
    </row>
    <row r="129" spans="1:23" ht="18.899999999999999" customHeight="1" x14ac:dyDescent="0.3">
      <c r="A129" s="83" t="str">
        <f>IF(TRIM(H129)&lt;&gt;"",COUNTA(H$9:$H129)&amp;"","")</f>
        <v>83</v>
      </c>
      <c r="B129" s="84" t="s">
        <v>263</v>
      </c>
      <c r="C129" s="84"/>
      <c r="D129" s="85"/>
      <c r="E129" s="86" t="s">
        <v>264</v>
      </c>
      <c r="F129" s="87">
        <v>45</v>
      </c>
      <c r="H129" s="88" t="s">
        <v>135</v>
      </c>
      <c r="I129" s="89">
        <f t="shared" si="161"/>
        <v>0</v>
      </c>
      <c r="J129" s="90">
        <f t="shared" si="162"/>
        <v>45</v>
      </c>
      <c r="K129" s="91">
        <v>1.2</v>
      </c>
      <c r="L129" s="92">
        <f t="shared" si="163"/>
        <v>54</v>
      </c>
      <c r="M129" s="93">
        <f t="shared" si="164"/>
        <v>48.95</v>
      </c>
      <c r="N129" s="94">
        <v>2.2222222222222223E-2</v>
      </c>
      <c r="O129" s="94">
        <f t="shared" si="165"/>
        <v>1</v>
      </c>
      <c r="P129" s="92">
        <f t="shared" si="166"/>
        <v>48.95</v>
      </c>
      <c r="Q129" s="95">
        <f t="shared" si="167"/>
        <v>102.95</v>
      </c>
      <c r="R129" s="96"/>
    </row>
    <row r="130" spans="1:23" ht="18.899999999999999" customHeight="1" x14ac:dyDescent="0.3">
      <c r="A130" s="83" t="str">
        <f>IF(TRIM(H130)&lt;&gt;"",COUNTA(H$9:$H130)&amp;"","")</f>
        <v>84</v>
      </c>
      <c r="B130" s="84" t="s">
        <v>263</v>
      </c>
      <c r="C130" s="84"/>
      <c r="D130" s="85"/>
      <c r="E130" s="86" t="s">
        <v>265</v>
      </c>
      <c r="F130" s="87">
        <v>35</v>
      </c>
      <c r="G130" s="64">
        <f>21*1.5</f>
        <v>31.5</v>
      </c>
      <c r="H130" s="88" t="s">
        <v>159</v>
      </c>
      <c r="I130" s="89">
        <f t="shared" si="161"/>
        <v>0</v>
      </c>
      <c r="J130" s="90">
        <f t="shared" si="162"/>
        <v>35</v>
      </c>
      <c r="K130" s="91">
        <v>7.1999999999999993</v>
      </c>
      <c r="L130" s="92">
        <f t="shared" si="163"/>
        <v>251.99999999999997</v>
      </c>
      <c r="M130" s="93">
        <f t="shared" si="164"/>
        <v>48.95</v>
      </c>
      <c r="N130" s="94">
        <v>0.13333333333333336</v>
      </c>
      <c r="O130" s="94">
        <f t="shared" si="165"/>
        <v>4.6666666666666679</v>
      </c>
      <c r="P130" s="92">
        <f t="shared" si="166"/>
        <v>228.43333333333339</v>
      </c>
      <c r="Q130" s="95">
        <f t="shared" si="167"/>
        <v>480.43333333333339</v>
      </c>
      <c r="R130" s="96"/>
    </row>
    <row r="131" spans="1:23" ht="15" thickBot="1" x14ac:dyDescent="0.35">
      <c r="A131" s="83" t="str">
        <f>IF(TRIM(H131)&lt;&gt;"",COUNTA(H$9:$H131)&amp;"","")</f>
        <v/>
      </c>
      <c r="B131" s="84"/>
      <c r="C131" s="84"/>
      <c r="D131" s="117"/>
      <c r="E131" s="86"/>
      <c r="F131" s="87"/>
      <c r="H131" s="88"/>
      <c r="I131" s="89" t="str">
        <f t="shared" ref="I131" si="168">IF(F131=0,"",0)</f>
        <v/>
      </c>
      <c r="J131" s="90" t="str">
        <f t="shared" si="162"/>
        <v/>
      </c>
      <c r="K131" s="91" t="str">
        <f t="shared" ref="K131" si="169">IF(F131=0,"",0)</f>
        <v/>
      </c>
      <c r="L131" s="92" t="str">
        <f t="shared" si="163"/>
        <v/>
      </c>
      <c r="M131" s="93" t="str">
        <f t="shared" si="164"/>
        <v/>
      </c>
      <c r="N131" s="94" t="str">
        <f t="shared" ref="N131" si="170">IF(F131=0,"",0)</f>
        <v/>
      </c>
      <c r="O131" s="94" t="str">
        <f t="shared" si="165"/>
        <v/>
      </c>
      <c r="P131" s="92" t="str">
        <f t="shared" si="166"/>
        <v/>
      </c>
      <c r="Q131" s="95" t="str">
        <f t="shared" si="167"/>
        <v/>
      </c>
      <c r="R131" s="96"/>
    </row>
    <row r="132" spans="1:23" s="111" customFormat="1" ht="16.2" thickBot="1" x14ac:dyDescent="0.35">
      <c r="A132" s="83" t="str">
        <f>IF(TRIM(H132)&lt;&gt;"",COUNTA(H$9:$H132)&amp;"","")</f>
        <v/>
      </c>
      <c r="B132" s="100"/>
      <c r="C132" s="100"/>
      <c r="D132" s="101"/>
      <c r="E132" s="102"/>
      <c r="F132" s="103"/>
      <c r="H132" s="104"/>
      <c r="I132" s="105" t="s">
        <v>12</v>
      </c>
      <c r="J132" s="106"/>
      <c r="K132" s="107">
        <f>SUM(L$77:L$131)</f>
        <v>28750.356113387978</v>
      </c>
      <c r="L132" s="198" t="s">
        <v>13</v>
      </c>
      <c r="M132" s="199"/>
      <c r="N132" s="108">
        <f>SUM(P$77:P$131)</f>
        <v>24061.211826157411</v>
      </c>
      <c r="O132" s="198" t="s">
        <v>42</v>
      </c>
      <c r="P132" s="199"/>
      <c r="Q132" s="109">
        <f>SUM(O$77:O$131)</f>
        <v>491.54671759259253</v>
      </c>
      <c r="R132" s="110">
        <f>SUM(Q$77:Q$131)</f>
        <v>52811.567939545392</v>
      </c>
      <c r="S132" s="64"/>
      <c r="T132" s="64"/>
      <c r="U132" s="64"/>
      <c r="V132" s="64"/>
      <c r="W132" s="64"/>
    </row>
    <row r="133" spans="1:23" s="166" customFormat="1" ht="20.100000000000001" customHeight="1" x14ac:dyDescent="0.3">
      <c r="A133" s="164" t="str">
        <f>IF(TRIM(H133)&lt;&gt;"",COUNTA(H$9:$H133)&amp;"","")</f>
        <v/>
      </c>
      <c r="B133" s="165"/>
      <c r="C133" s="165"/>
      <c r="D133" s="166" t="s">
        <v>58</v>
      </c>
      <c r="E133" s="166" t="s">
        <v>90</v>
      </c>
      <c r="F133" s="167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8"/>
    </row>
    <row r="134" spans="1:23" s="113" customFormat="1" ht="19.2" customHeight="1" x14ac:dyDescent="0.3">
      <c r="A134" s="83" t="str">
        <f>IF(TRIM(H134)&lt;&gt;"",COUNTA(H$9:$H134)&amp;"","")</f>
        <v/>
      </c>
      <c r="B134" s="112"/>
      <c r="C134" s="112"/>
      <c r="D134" s="85" t="s">
        <v>92</v>
      </c>
      <c r="E134" s="160" t="s">
        <v>91</v>
      </c>
      <c r="F134" s="87"/>
      <c r="H134" s="88"/>
      <c r="I134" s="89" t="str">
        <f t="shared" ref="I134:I140" si="171">IF(F134=0,"",0)</f>
        <v/>
      </c>
      <c r="J134" s="90" t="str">
        <f t="shared" ref="J134:J140" si="172">IF(F134=0,"",F134+(F134*I134))</f>
        <v/>
      </c>
      <c r="K134" s="91" t="str">
        <f t="shared" ref="K134" si="173">IF(F134=0,"",0)</f>
        <v/>
      </c>
      <c r="L134" s="92" t="str">
        <f t="shared" ref="L134:L140" si="174">IF(F134=0,"",K134*J134)</f>
        <v/>
      </c>
      <c r="M134" s="93" t="str">
        <f t="shared" ref="M134:M140" si="175">IF(F134=0,"",M$7)</f>
        <v/>
      </c>
      <c r="N134" s="94" t="str">
        <f t="shared" ref="N134" si="176">IF(F134=0,"",0)</f>
        <v/>
      </c>
      <c r="O134" s="94" t="str">
        <f t="shared" ref="O134:O140" si="177">IF(F134=0,"",N134*J134)</f>
        <v/>
      </c>
      <c r="P134" s="92" t="str">
        <f t="shared" ref="P134:P140" si="178">IF(F134=0,"",O134*M134)</f>
        <v/>
      </c>
      <c r="Q134" s="95" t="str">
        <f t="shared" ref="Q134:Q140" si="179">IF(F134=0,"",L134+P134)</f>
        <v/>
      </c>
      <c r="R134" s="96"/>
      <c r="S134" s="64"/>
      <c r="T134" s="64"/>
      <c r="U134" s="64"/>
      <c r="V134" s="64"/>
      <c r="W134" s="64"/>
    </row>
    <row r="135" spans="1:23" ht="18.899999999999999" customHeight="1" x14ac:dyDescent="0.3">
      <c r="A135" s="83" t="str">
        <f>IF(TRIM(H135)&lt;&gt;"",COUNTA(H$9:$H135)&amp;"","")</f>
        <v>85</v>
      </c>
      <c r="B135" s="84" t="s">
        <v>244</v>
      </c>
      <c r="C135" s="84"/>
      <c r="D135" s="85"/>
      <c r="E135" s="86" t="s">
        <v>246</v>
      </c>
      <c r="F135" s="87">
        <v>1</v>
      </c>
      <c r="H135" s="88" t="s">
        <v>181</v>
      </c>
      <c r="I135" s="89">
        <f t="shared" si="171"/>
        <v>0</v>
      </c>
      <c r="J135" s="90">
        <f t="shared" si="172"/>
        <v>1</v>
      </c>
      <c r="K135" s="91">
        <v>688.16</v>
      </c>
      <c r="L135" s="92">
        <f t="shared" si="174"/>
        <v>688.16</v>
      </c>
      <c r="M135" s="93">
        <f t="shared" si="175"/>
        <v>48.95</v>
      </c>
      <c r="N135" s="94">
        <v>3.3733333333333331</v>
      </c>
      <c r="O135" s="94">
        <f t="shared" si="177"/>
        <v>3.3733333333333331</v>
      </c>
      <c r="P135" s="92">
        <f t="shared" si="178"/>
        <v>165.12466666666666</v>
      </c>
      <c r="Q135" s="95">
        <f t="shared" si="179"/>
        <v>853.28466666666668</v>
      </c>
      <c r="R135" s="96"/>
    </row>
    <row r="136" spans="1:23" s="113" customFormat="1" ht="19.2" customHeight="1" x14ac:dyDescent="0.3">
      <c r="A136" s="83" t="str">
        <f>IF(TRIM(H136)&lt;&gt;"",COUNTA(H$9:$H136)&amp;"","")</f>
        <v/>
      </c>
      <c r="B136" s="112"/>
      <c r="C136" s="112"/>
      <c r="D136" s="85" t="s">
        <v>94</v>
      </c>
      <c r="E136" s="160" t="s">
        <v>93</v>
      </c>
      <c r="F136" s="87"/>
      <c r="H136" s="88"/>
      <c r="I136" s="89" t="str">
        <f t="shared" si="171"/>
        <v/>
      </c>
      <c r="J136" s="90" t="str">
        <f t="shared" si="172"/>
        <v/>
      </c>
      <c r="K136" s="91" t="s">
        <v>407</v>
      </c>
      <c r="L136" s="92" t="str">
        <f t="shared" si="174"/>
        <v/>
      </c>
      <c r="M136" s="93" t="str">
        <f t="shared" si="175"/>
        <v/>
      </c>
      <c r="N136" s="94" t="s">
        <v>407</v>
      </c>
      <c r="O136" s="94" t="str">
        <f t="shared" si="177"/>
        <v/>
      </c>
      <c r="P136" s="92" t="str">
        <f t="shared" si="178"/>
        <v/>
      </c>
      <c r="Q136" s="95" t="str">
        <f t="shared" si="179"/>
        <v/>
      </c>
      <c r="R136" s="96"/>
      <c r="S136" s="64"/>
      <c r="T136" s="64"/>
      <c r="U136" s="64"/>
      <c r="V136" s="64"/>
      <c r="W136" s="64"/>
    </row>
    <row r="137" spans="1:23" ht="18.899999999999999" customHeight="1" x14ac:dyDescent="0.3">
      <c r="A137" s="83" t="str">
        <f>IF(TRIM(H137)&lt;&gt;"",COUNTA(H$9:$H137)&amp;"","")</f>
        <v>86</v>
      </c>
      <c r="B137" s="191" t="s">
        <v>244</v>
      </c>
      <c r="C137" s="191" t="s">
        <v>248</v>
      </c>
      <c r="D137" s="188"/>
      <c r="E137" s="86" t="s">
        <v>249</v>
      </c>
      <c r="F137" s="87">
        <v>2</v>
      </c>
      <c r="H137" s="88" t="s">
        <v>181</v>
      </c>
      <c r="I137" s="89">
        <f t="shared" si="171"/>
        <v>0</v>
      </c>
      <c r="J137" s="90">
        <f t="shared" si="172"/>
        <v>2</v>
      </c>
      <c r="K137" s="91">
        <v>349</v>
      </c>
      <c r="L137" s="92">
        <f t="shared" si="174"/>
        <v>698</v>
      </c>
      <c r="M137" s="93">
        <f t="shared" si="175"/>
        <v>48.95</v>
      </c>
      <c r="N137" s="94">
        <v>2.4236111111111112</v>
      </c>
      <c r="O137" s="94">
        <f t="shared" si="177"/>
        <v>4.8472222222222223</v>
      </c>
      <c r="P137" s="92">
        <f t="shared" si="178"/>
        <v>237.27152777777781</v>
      </c>
      <c r="Q137" s="95">
        <f t="shared" si="179"/>
        <v>935.27152777777781</v>
      </c>
      <c r="R137" s="96"/>
    </row>
    <row r="138" spans="1:23" ht="18.899999999999999" customHeight="1" x14ac:dyDescent="0.3">
      <c r="A138" s="83" t="str">
        <f>IF(TRIM(H138)&lt;&gt;"",COUNTA(H$9:$H138)&amp;"","")</f>
        <v>87</v>
      </c>
      <c r="B138" s="192"/>
      <c r="C138" s="192"/>
      <c r="D138" s="192"/>
      <c r="E138" s="86" t="s">
        <v>250</v>
      </c>
      <c r="F138" s="87">
        <v>1</v>
      </c>
      <c r="H138" s="88" t="s">
        <v>181</v>
      </c>
      <c r="I138" s="89">
        <f t="shared" si="171"/>
        <v>0</v>
      </c>
      <c r="J138" s="90">
        <f t="shared" si="172"/>
        <v>1</v>
      </c>
      <c r="K138" s="91">
        <v>79</v>
      </c>
      <c r="L138" s="92">
        <f t="shared" si="174"/>
        <v>79</v>
      </c>
      <c r="M138" s="93">
        <f t="shared" si="175"/>
        <v>48.95</v>
      </c>
      <c r="N138" s="94">
        <v>0.54861111111111116</v>
      </c>
      <c r="O138" s="94">
        <f t="shared" si="177"/>
        <v>0.54861111111111116</v>
      </c>
      <c r="P138" s="92">
        <f t="shared" si="178"/>
        <v>26.854513888888892</v>
      </c>
      <c r="Q138" s="95">
        <f t="shared" si="179"/>
        <v>105.85451388888889</v>
      </c>
      <c r="R138" s="96"/>
    </row>
    <row r="139" spans="1:23" ht="18.899999999999999" customHeight="1" x14ac:dyDescent="0.3">
      <c r="A139" s="83" t="str">
        <f>IF(TRIM(H139)&lt;&gt;"",COUNTA(H$9:$H139)&amp;"","")</f>
        <v>88</v>
      </c>
      <c r="B139" s="192"/>
      <c r="C139" s="192"/>
      <c r="D139" s="192"/>
      <c r="E139" s="86" t="s">
        <v>251</v>
      </c>
      <c r="F139" s="87">
        <v>2</v>
      </c>
      <c r="H139" s="88" t="s">
        <v>181</v>
      </c>
      <c r="I139" s="89">
        <f t="shared" si="171"/>
        <v>0</v>
      </c>
      <c r="J139" s="90">
        <f t="shared" si="172"/>
        <v>2</v>
      </c>
      <c r="K139" s="91">
        <v>129</v>
      </c>
      <c r="L139" s="92">
        <f t="shared" si="174"/>
        <v>258</v>
      </c>
      <c r="M139" s="93">
        <f t="shared" si="175"/>
        <v>48.95</v>
      </c>
      <c r="N139" s="94">
        <v>0.89583333333333337</v>
      </c>
      <c r="O139" s="94">
        <f t="shared" si="177"/>
        <v>1.7916666666666667</v>
      </c>
      <c r="P139" s="92">
        <f t="shared" si="178"/>
        <v>87.702083333333348</v>
      </c>
      <c r="Q139" s="95">
        <f t="shared" si="179"/>
        <v>345.70208333333335</v>
      </c>
      <c r="R139" s="96"/>
    </row>
    <row r="140" spans="1:23" ht="18.899999999999999" customHeight="1" x14ac:dyDescent="0.3">
      <c r="A140" s="83" t="str">
        <f>IF(TRIM(H140)&lt;&gt;"",COUNTA(H$9:$H140)&amp;"","")</f>
        <v>89</v>
      </c>
      <c r="B140" s="193"/>
      <c r="C140" s="193"/>
      <c r="D140" s="193"/>
      <c r="E140" s="86" t="s">
        <v>252</v>
      </c>
      <c r="F140" s="87">
        <v>1</v>
      </c>
      <c r="H140" s="88" t="s">
        <v>181</v>
      </c>
      <c r="I140" s="89">
        <f t="shared" si="171"/>
        <v>0</v>
      </c>
      <c r="J140" s="90">
        <f t="shared" si="172"/>
        <v>1</v>
      </c>
      <c r="K140" s="91">
        <v>59</v>
      </c>
      <c r="L140" s="92">
        <f t="shared" si="174"/>
        <v>59</v>
      </c>
      <c r="M140" s="93">
        <f t="shared" si="175"/>
        <v>48.95</v>
      </c>
      <c r="N140" s="94">
        <v>0.40972222222222221</v>
      </c>
      <c r="O140" s="94">
        <f t="shared" si="177"/>
        <v>0.40972222222222221</v>
      </c>
      <c r="P140" s="92">
        <f t="shared" si="178"/>
        <v>20.055902777777778</v>
      </c>
      <c r="Q140" s="95">
        <f t="shared" si="179"/>
        <v>79.055902777777774</v>
      </c>
      <c r="R140" s="96"/>
    </row>
    <row r="141" spans="1:23" ht="15" thickBot="1" x14ac:dyDescent="0.35">
      <c r="A141" s="83" t="str">
        <f>IF(TRIM(H141)&lt;&gt;"",COUNTA(H$9:$H141)&amp;"","")</f>
        <v/>
      </c>
      <c r="B141" s="98"/>
      <c r="C141" s="98"/>
      <c r="D141" s="85"/>
      <c r="E141" s="99"/>
      <c r="F141" s="87"/>
      <c r="H141" s="88"/>
      <c r="I141" s="89" t="str">
        <f t="shared" ref="I141" si="180">IF(F141=0,"",0)</f>
        <v/>
      </c>
      <c r="J141" s="90" t="str">
        <f t="shared" ref="J141" si="181">IF(F141=0,"",F141+(F141*I141))</f>
        <v/>
      </c>
      <c r="K141" s="91" t="str">
        <f t="shared" ref="K141" si="182">IF(F141=0,"",0)</f>
        <v/>
      </c>
      <c r="L141" s="92" t="str">
        <f t="shared" ref="L141" si="183">IF(F141=0,"",K141*J141)</f>
        <v/>
      </c>
      <c r="M141" s="93" t="str">
        <f t="shared" ref="M141" si="184">IF(F141=0,"",M$7)</f>
        <v/>
      </c>
      <c r="N141" s="94" t="str">
        <f t="shared" ref="N141" si="185">IF(F141=0,"",0)</f>
        <v/>
      </c>
      <c r="O141" s="94" t="str">
        <f t="shared" ref="O141" si="186">IF(F141=0,"",N141*J141)</f>
        <v/>
      </c>
      <c r="P141" s="92" t="str">
        <f t="shared" ref="P141" si="187">IF(F141=0,"",O141*M141)</f>
        <v/>
      </c>
      <c r="Q141" s="95" t="str">
        <f t="shared" ref="Q141" si="188">IF(F141=0,"",L141+P141)</f>
        <v/>
      </c>
      <c r="R141" s="96"/>
    </row>
    <row r="142" spans="1:23" s="111" customFormat="1" ht="16.2" thickBot="1" x14ac:dyDescent="0.35">
      <c r="A142" s="83" t="str">
        <f>IF(TRIM(H142)&lt;&gt;"",COUNTA(H$9:$H142)&amp;"","")</f>
        <v/>
      </c>
      <c r="B142" s="118"/>
      <c r="C142" s="118"/>
      <c r="D142" s="119"/>
      <c r="E142" s="102"/>
      <c r="F142" s="87"/>
      <c r="H142" s="120"/>
      <c r="I142" s="105" t="s">
        <v>12</v>
      </c>
      <c r="J142" s="106"/>
      <c r="K142" s="107">
        <f>SUM(L$133:L$141)</f>
        <v>1782.1599999999999</v>
      </c>
      <c r="L142" s="198" t="s">
        <v>13</v>
      </c>
      <c r="M142" s="199"/>
      <c r="N142" s="108">
        <f>SUM(P$133:P$141)</f>
        <v>537.00869444444447</v>
      </c>
      <c r="O142" s="198" t="s">
        <v>42</v>
      </c>
      <c r="P142" s="199"/>
      <c r="Q142" s="109">
        <f>SUM(O$133:O$141)</f>
        <v>10.970555555555555</v>
      </c>
      <c r="R142" s="110">
        <f>SUM(Q$133:Q$141)</f>
        <v>2319.1686944444441</v>
      </c>
      <c r="S142" s="64"/>
      <c r="T142" s="64"/>
      <c r="U142" s="64"/>
      <c r="V142" s="64"/>
      <c r="W142" s="64"/>
    </row>
    <row r="143" spans="1:23" s="166" customFormat="1" ht="20.100000000000001" customHeight="1" x14ac:dyDescent="0.3">
      <c r="A143" s="164" t="str">
        <f>IF(TRIM(H143)&lt;&gt;"",COUNTA(H$9:$H143)&amp;"","")</f>
        <v/>
      </c>
      <c r="B143" s="165"/>
      <c r="C143" s="165"/>
      <c r="D143" s="166" t="s">
        <v>60</v>
      </c>
      <c r="E143" s="166" t="s">
        <v>95</v>
      </c>
      <c r="F143" s="167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8"/>
    </row>
    <row r="144" spans="1:23" s="113" customFormat="1" ht="19.2" customHeight="1" x14ac:dyDescent="0.3">
      <c r="A144" s="83" t="str">
        <f>IF(TRIM(H144)&lt;&gt;"",COUNTA(H$9:$H144)&amp;"","")</f>
        <v/>
      </c>
      <c r="B144" s="112"/>
      <c r="C144" s="112"/>
      <c r="D144" s="85" t="s">
        <v>97</v>
      </c>
      <c r="E144" s="160" t="s">
        <v>96</v>
      </c>
      <c r="F144" s="87"/>
      <c r="H144" s="88"/>
      <c r="I144" s="89" t="str">
        <f t="shared" ref="I144:I148" si="189">IF(F144=0,"",0)</f>
        <v/>
      </c>
      <c r="J144" s="90" t="str">
        <f t="shared" ref="J144:J148" si="190">IF(F144=0,"",F144+(F144*I144))</f>
        <v/>
      </c>
      <c r="K144" s="91" t="str">
        <f t="shared" ref="K144" si="191">IF(F144=0,"",0)</f>
        <v/>
      </c>
      <c r="L144" s="92" t="str">
        <f t="shared" ref="L144:L148" si="192">IF(F144=0,"",K144*J144)</f>
        <v/>
      </c>
      <c r="M144" s="93" t="str">
        <f t="shared" ref="M144:M148" si="193">IF(F144=0,"",M$7)</f>
        <v/>
      </c>
      <c r="N144" s="94" t="str">
        <f t="shared" ref="N144" si="194">IF(F144=0,"",0)</f>
        <v/>
      </c>
      <c r="O144" s="94" t="str">
        <f t="shared" ref="O144:O148" si="195">IF(F144=0,"",N144*J144)</f>
        <v/>
      </c>
      <c r="P144" s="92" t="str">
        <f t="shared" ref="P144:P148" si="196">IF(F144=0,"",O144*M144)</f>
        <v/>
      </c>
      <c r="Q144" s="95" t="str">
        <f t="shared" ref="Q144:Q148" si="197">IF(F144=0,"",L144+P144)</f>
        <v/>
      </c>
      <c r="R144" s="96"/>
      <c r="S144" s="64"/>
      <c r="T144" s="64"/>
      <c r="U144" s="64"/>
      <c r="V144" s="64"/>
      <c r="W144" s="64"/>
    </row>
    <row r="145" spans="1:23" ht="41.4" x14ac:dyDescent="0.3">
      <c r="A145" s="83" t="str">
        <f>IF(TRIM(H145)&lt;&gt;"",COUNTA(H$9:$H145)&amp;"","")</f>
        <v>90</v>
      </c>
      <c r="B145" s="84" t="s">
        <v>228</v>
      </c>
      <c r="C145" s="150" t="s">
        <v>412</v>
      </c>
      <c r="D145" s="85"/>
      <c r="E145" s="97" t="s">
        <v>230</v>
      </c>
      <c r="F145" s="87">
        <v>1</v>
      </c>
      <c r="H145" s="88" t="s">
        <v>181</v>
      </c>
      <c r="I145" s="89">
        <f>IF(F145=0,"",0)</f>
        <v>0</v>
      </c>
      <c r="J145" s="90">
        <f>IF(F145=0,"",F145+(F145*I145))</f>
        <v>1</v>
      </c>
      <c r="K145" s="91">
        <v>2467</v>
      </c>
      <c r="L145" s="92">
        <f>IF(F145=0,"",K145*J145)</f>
        <v>2467</v>
      </c>
      <c r="M145" s="93">
        <f>IF(F145=0,"",M$7)</f>
        <v>48.95</v>
      </c>
      <c r="N145" s="94">
        <v>12.093137254901961</v>
      </c>
      <c r="O145" s="94">
        <f>IF(F145=0,"",N145*J145)</f>
        <v>12.093137254901961</v>
      </c>
      <c r="P145" s="92">
        <f>IF(F145=0,"",O145*M145)</f>
        <v>591.95906862745107</v>
      </c>
      <c r="Q145" s="95">
        <f>IF(F145=0,"",L145+P145)</f>
        <v>3058.959068627451</v>
      </c>
      <c r="R145" s="96"/>
    </row>
    <row r="146" spans="1:23" ht="41.4" x14ac:dyDescent="0.3">
      <c r="A146" s="83" t="str">
        <f>IF(TRIM(H146)&lt;&gt;"",COUNTA(H$9:$H146)&amp;"","")</f>
        <v>91</v>
      </c>
      <c r="B146" s="185" t="s">
        <v>228</v>
      </c>
      <c r="C146" s="185"/>
      <c r="D146" s="188"/>
      <c r="E146" s="97" t="s">
        <v>413</v>
      </c>
      <c r="F146" s="87">
        <v>1</v>
      </c>
      <c r="H146" s="88" t="s">
        <v>181</v>
      </c>
      <c r="I146" s="89">
        <f t="shared" si="189"/>
        <v>0</v>
      </c>
      <c r="J146" s="90">
        <f t="shared" si="190"/>
        <v>1</v>
      </c>
      <c r="K146" s="91">
        <v>173.3</v>
      </c>
      <c r="L146" s="92">
        <f t="shared" si="192"/>
        <v>173.3</v>
      </c>
      <c r="M146" s="93">
        <f t="shared" si="193"/>
        <v>48.95</v>
      </c>
      <c r="N146" s="94">
        <v>0.84950980392156872</v>
      </c>
      <c r="O146" s="94">
        <f t="shared" si="195"/>
        <v>0.84950980392156872</v>
      </c>
      <c r="P146" s="92">
        <f t="shared" si="196"/>
        <v>41.583504901960794</v>
      </c>
      <c r="Q146" s="95">
        <f t="shared" si="197"/>
        <v>214.88350490196081</v>
      </c>
      <c r="R146" s="96"/>
    </row>
    <row r="147" spans="1:23" ht="41.4" x14ac:dyDescent="0.3">
      <c r="A147" s="83" t="str">
        <f>IF(TRIM(H147)&lt;&gt;"",COUNTA(H$9:$H147)&amp;"","")</f>
        <v>92</v>
      </c>
      <c r="B147" s="187"/>
      <c r="C147" s="187"/>
      <c r="D147" s="190"/>
      <c r="E147" s="97" t="s">
        <v>240</v>
      </c>
      <c r="F147" s="87">
        <v>1</v>
      </c>
      <c r="H147" s="88" t="s">
        <v>181</v>
      </c>
      <c r="I147" s="89">
        <f t="shared" si="189"/>
        <v>0</v>
      </c>
      <c r="J147" s="90">
        <f t="shared" si="190"/>
        <v>1</v>
      </c>
      <c r="K147" s="91">
        <v>152.25</v>
      </c>
      <c r="L147" s="92">
        <f t="shared" si="192"/>
        <v>152.25</v>
      </c>
      <c r="M147" s="93">
        <f t="shared" si="193"/>
        <v>48.95</v>
      </c>
      <c r="N147" s="94">
        <v>0.74632352941176472</v>
      </c>
      <c r="O147" s="94">
        <f t="shared" si="195"/>
        <v>0.74632352941176472</v>
      </c>
      <c r="P147" s="92">
        <f t="shared" si="196"/>
        <v>36.532536764705888</v>
      </c>
      <c r="Q147" s="95">
        <f t="shared" si="197"/>
        <v>188.7825367647059</v>
      </c>
      <c r="R147" s="96"/>
    </row>
    <row r="148" spans="1:23" s="113" customFormat="1" ht="19.2" customHeight="1" x14ac:dyDescent="0.3">
      <c r="A148" s="83" t="str">
        <f>IF(TRIM(H148)&lt;&gt;"",COUNTA(H$9:$H148)&amp;"","")</f>
        <v/>
      </c>
      <c r="B148" s="112"/>
      <c r="C148" s="112"/>
      <c r="D148" s="85" t="s">
        <v>99</v>
      </c>
      <c r="E148" s="160" t="s">
        <v>98</v>
      </c>
      <c r="F148" s="87"/>
      <c r="H148" s="88"/>
      <c r="I148" s="89" t="str">
        <f t="shared" si="189"/>
        <v/>
      </c>
      <c r="J148" s="90" t="str">
        <f t="shared" si="190"/>
        <v/>
      </c>
      <c r="K148" s="91" t="s">
        <v>407</v>
      </c>
      <c r="L148" s="92" t="str">
        <f t="shared" si="192"/>
        <v/>
      </c>
      <c r="M148" s="93" t="str">
        <f t="shared" si="193"/>
        <v/>
      </c>
      <c r="N148" s="94" t="s">
        <v>407</v>
      </c>
      <c r="O148" s="94" t="str">
        <f t="shared" si="195"/>
        <v/>
      </c>
      <c r="P148" s="92" t="str">
        <f t="shared" si="196"/>
        <v/>
      </c>
      <c r="Q148" s="95" t="str">
        <f t="shared" si="197"/>
        <v/>
      </c>
      <c r="R148" s="96"/>
      <c r="S148" s="64"/>
      <c r="T148" s="64"/>
      <c r="U148" s="64"/>
      <c r="V148" s="64"/>
      <c r="W148" s="64"/>
    </row>
    <row r="149" spans="1:23" ht="41.4" x14ac:dyDescent="0.3">
      <c r="A149" s="83" t="str">
        <f>IF(TRIM(H149)&lt;&gt;"",COUNTA(H$9:$H149)&amp;"","")</f>
        <v>93</v>
      </c>
      <c r="B149" s="185" t="s">
        <v>228</v>
      </c>
      <c r="C149" s="191" t="s">
        <v>412</v>
      </c>
      <c r="D149" s="188"/>
      <c r="E149" s="97" t="s">
        <v>229</v>
      </c>
      <c r="F149" s="87">
        <v>1</v>
      </c>
      <c r="H149" s="88" t="s">
        <v>181</v>
      </c>
      <c r="I149" s="89">
        <f t="shared" ref="I149:I154" si="198">IF(F149=0,"",0)</f>
        <v>0</v>
      </c>
      <c r="J149" s="90">
        <f t="shared" ref="J149:J154" si="199">IF(F149=0,"",F149+(F149*I149))</f>
        <v>1</v>
      </c>
      <c r="K149" s="91">
        <v>8609</v>
      </c>
      <c r="L149" s="92">
        <f t="shared" ref="L149:L154" si="200">IF(F149=0,"",K149*J149)</f>
        <v>8609</v>
      </c>
      <c r="M149" s="93">
        <f t="shared" ref="M149:M154" si="201">IF(F149=0,"",M$7)</f>
        <v>48.95</v>
      </c>
      <c r="N149" s="94">
        <v>42.200980392156865</v>
      </c>
      <c r="O149" s="94">
        <f t="shared" ref="O149:O154" si="202">IF(F149=0,"",N149*J149)</f>
        <v>42.200980392156865</v>
      </c>
      <c r="P149" s="92">
        <f t="shared" ref="P149:P154" si="203">IF(F149=0,"",O149*M149)</f>
        <v>2065.7379901960785</v>
      </c>
      <c r="Q149" s="95">
        <f t="shared" ref="Q149:Q154" si="204">IF(F149=0,"",L149+P149)</f>
        <v>10674.737990196078</v>
      </c>
      <c r="R149" s="96"/>
    </row>
    <row r="150" spans="1:23" ht="41.4" x14ac:dyDescent="0.3">
      <c r="A150" s="83" t="str">
        <f>IF(TRIM(H150)&lt;&gt;"",COUNTA(H$9:$H150)&amp;"","")</f>
        <v>94</v>
      </c>
      <c r="B150" s="186"/>
      <c r="C150" s="192"/>
      <c r="D150" s="189"/>
      <c r="E150" s="97" t="s">
        <v>231</v>
      </c>
      <c r="F150" s="87">
        <v>1</v>
      </c>
      <c r="H150" s="88" t="s">
        <v>181</v>
      </c>
      <c r="I150" s="89">
        <f t="shared" si="198"/>
        <v>0</v>
      </c>
      <c r="J150" s="90">
        <f t="shared" si="199"/>
        <v>1</v>
      </c>
      <c r="K150" s="91">
        <v>2599</v>
      </c>
      <c r="L150" s="92">
        <f t="shared" si="200"/>
        <v>2599</v>
      </c>
      <c r="M150" s="93">
        <f t="shared" si="201"/>
        <v>48.95</v>
      </c>
      <c r="N150" s="94">
        <v>12.740196078431373</v>
      </c>
      <c r="O150" s="94">
        <f t="shared" si="202"/>
        <v>12.740196078431373</v>
      </c>
      <c r="P150" s="92">
        <f t="shared" si="203"/>
        <v>623.63259803921574</v>
      </c>
      <c r="Q150" s="95">
        <f t="shared" si="204"/>
        <v>3222.6325980392157</v>
      </c>
      <c r="R150" s="96"/>
    </row>
    <row r="151" spans="1:23" ht="41.4" x14ac:dyDescent="0.3">
      <c r="A151" s="83" t="str">
        <f>IF(TRIM(H151)&lt;&gt;"",COUNTA(H$9:$H151)&amp;"","")</f>
        <v>95</v>
      </c>
      <c r="B151" s="186"/>
      <c r="C151" s="192"/>
      <c r="D151" s="189"/>
      <c r="E151" s="97" t="s">
        <v>414</v>
      </c>
      <c r="F151" s="87">
        <v>1</v>
      </c>
      <c r="H151" s="88" t="s">
        <v>181</v>
      </c>
      <c r="I151" s="89">
        <f t="shared" si="198"/>
        <v>0</v>
      </c>
      <c r="J151" s="90">
        <f t="shared" si="199"/>
        <v>1</v>
      </c>
      <c r="K151" s="91">
        <v>1449</v>
      </c>
      <c r="L151" s="92">
        <f t="shared" si="200"/>
        <v>1449</v>
      </c>
      <c r="M151" s="93">
        <f t="shared" si="201"/>
        <v>48.95</v>
      </c>
      <c r="N151" s="94">
        <v>7.1029411764705879</v>
      </c>
      <c r="O151" s="94">
        <f t="shared" si="202"/>
        <v>7.1029411764705879</v>
      </c>
      <c r="P151" s="92">
        <f t="shared" si="203"/>
        <v>347.68897058823529</v>
      </c>
      <c r="Q151" s="95">
        <f t="shared" si="204"/>
        <v>1796.6889705882354</v>
      </c>
      <c r="R151" s="96"/>
    </row>
    <row r="152" spans="1:23" ht="41.4" x14ac:dyDescent="0.3">
      <c r="A152" s="83" t="str">
        <f>IF(TRIM(H152)&lt;&gt;"",COUNTA(H$9:$H152)&amp;"","")</f>
        <v>96</v>
      </c>
      <c r="B152" s="186"/>
      <c r="C152" s="192"/>
      <c r="D152" s="189"/>
      <c r="E152" s="97" t="s">
        <v>232</v>
      </c>
      <c r="F152" s="87">
        <v>1</v>
      </c>
      <c r="H152" s="88" t="s">
        <v>181</v>
      </c>
      <c r="I152" s="89">
        <f t="shared" si="198"/>
        <v>0</v>
      </c>
      <c r="J152" s="90">
        <f t="shared" si="199"/>
        <v>1</v>
      </c>
      <c r="K152" s="91">
        <v>3399</v>
      </c>
      <c r="L152" s="92">
        <f t="shared" si="200"/>
        <v>3399</v>
      </c>
      <c r="M152" s="93">
        <f t="shared" si="201"/>
        <v>48.95</v>
      </c>
      <c r="N152" s="94">
        <v>16.661764705882355</v>
      </c>
      <c r="O152" s="94">
        <f t="shared" si="202"/>
        <v>16.661764705882355</v>
      </c>
      <c r="P152" s="92">
        <f t="shared" si="203"/>
        <v>815.59338235294138</v>
      </c>
      <c r="Q152" s="95">
        <f t="shared" si="204"/>
        <v>4214.5933823529413</v>
      </c>
      <c r="R152" s="96"/>
    </row>
    <row r="153" spans="1:23" ht="41.4" x14ac:dyDescent="0.3">
      <c r="A153" s="83" t="str">
        <f>IF(TRIM(H153)&lt;&gt;"",COUNTA(H$9:$H153)&amp;"","")</f>
        <v>97</v>
      </c>
      <c r="B153" s="187"/>
      <c r="C153" s="193"/>
      <c r="D153" s="190"/>
      <c r="E153" s="97" t="s">
        <v>233</v>
      </c>
      <c r="F153" s="87">
        <v>1</v>
      </c>
      <c r="H153" s="88" t="s">
        <v>181</v>
      </c>
      <c r="I153" s="89">
        <f t="shared" si="198"/>
        <v>0</v>
      </c>
      <c r="J153" s="90">
        <f t="shared" si="199"/>
        <v>1</v>
      </c>
      <c r="K153" s="91">
        <v>1499</v>
      </c>
      <c r="L153" s="92">
        <f t="shared" si="200"/>
        <v>1499</v>
      </c>
      <c r="M153" s="93">
        <f t="shared" si="201"/>
        <v>48.95</v>
      </c>
      <c r="N153" s="94">
        <v>7.3480392156862742</v>
      </c>
      <c r="O153" s="94">
        <f t="shared" si="202"/>
        <v>7.3480392156862742</v>
      </c>
      <c r="P153" s="92">
        <f t="shared" si="203"/>
        <v>359.68651960784314</v>
      </c>
      <c r="Q153" s="95">
        <f t="shared" si="204"/>
        <v>1858.6865196078431</v>
      </c>
      <c r="R153" s="96"/>
    </row>
    <row r="154" spans="1:23" ht="15" thickBot="1" x14ac:dyDescent="0.35">
      <c r="A154" s="83" t="str">
        <f>IF(TRIM(H154)&lt;&gt;"",COUNTA(H$9:$H154)&amp;"","")</f>
        <v/>
      </c>
      <c r="B154" s="98"/>
      <c r="C154" s="98"/>
      <c r="D154" s="85"/>
      <c r="E154" s="99"/>
      <c r="F154" s="87"/>
      <c r="H154" s="88"/>
      <c r="I154" s="89" t="str">
        <f t="shared" si="198"/>
        <v/>
      </c>
      <c r="J154" s="90" t="str">
        <f t="shared" si="199"/>
        <v/>
      </c>
      <c r="K154" s="91" t="str">
        <f t="shared" ref="K154" si="205">IF(F154=0,"",0)</f>
        <v/>
      </c>
      <c r="L154" s="92" t="str">
        <f t="shared" si="200"/>
        <v/>
      </c>
      <c r="M154" s="93" t="str">
        <f t="shared" si="201"/>
        <v/>
      </c>
      <c r="N154" s="94" t="str">
        <f t="shared" ref="N154" si="206">IF(F154=0,"",0)</f>
        <v/>
      </c>
      <c r="O154" s="94" t="str">
        <f t="shared" si="202"/>
        <v/>
      </c>
      <c r="P154" s="92" t="str">
        <f t="shared" si="203"/>
        <v/>
      </c>
      <c r="Q154" s="95" t="str">
        <f t="shared" si="204"/>
        <v/>
      </c>
      <c r="R154" s="96"/>
    </row>
    <row r="155" spans="1:23" s="111" customFormat="1" ht="16.2" thickBot="1" x14ac:dyDescent="0.35">
      <c r="A155" s="83" t="str">
        <f>IF(TRIM(H155)&lt;&gt;"",COUNTA(H$9:$H155)&amp;"","")</f>
        <v/>
      </c>
      <c r="B155" s="118"/>
      <c r="C155" s="118"/>
      <c r="D155" s="119"/>
      <c r="E155" s="102"/>
      <c r="F155" s="87"/>
      <c r="H155" s="120"/>
      <c r="I155" s="105" t="s">
        <v>12</v>
      </c>
      <c r="J155" s="106"/>
      <c r="K155" s="107">
        <f>SUM(L$143:L$154)</f>
        <v>20347.55</v>
      </c>
      <c r="L155" s="198" t="s">
        <v>13</v>
      </c>
      <c r="M155" s="199"/>
      <c r="N155" s="108">
        <f>SUM(P$143:P$154)</f>
        <v>4882.4145710784323</v>
      </c>
      <c r="O155" s="198" t="s">
        <v>42</v>
      </c>
      <c r="P155" s="199"/>
      <c r="Q155" s="109">
        <f>SUM(O$143:O$154)</f>
        <v>99.742892156862752</v>
      </c>
      <c r="R155" s="110">
        <f>SUM(Q$143:Q$154)</f>
        <v>25229.964571078432</v>
      </c>
      <c r="S155" s="64"/>
      <c r="T155" s="64"/>
      <c r="U155" s="64"/>
      <c r="V155" s="64"/>
      <c r="W155" s="64"/>
    </row>
    <row r="156" spans="1:23" s="166" customFormat="1" ht="20.100000000000001" customHeight="1" x14ac:dyDescent="0.3">
      <c r="A156" s="164" t="str">
        <f>IF(TRIM(H156)&lt;&gt;"",COUNTA(H$9:$H156)&amp;"","")</f>
        <v/>
      </c>
      <c r="B156" s="165"/>
      <c r="C156" s="165"/>
      <c r="D156" s="160" t="s">
        <v>62</v>
      </c>
      <c r="E156" s="166" t="s">
        <v>100</v>
      </c>
      <c r="F156" s="167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8"/>
    </row>
    <row r="157" spans="1:23" s="113" customFormat="1" ht="19.2" customHeight="1" x14ac:dyDescent="0.3">
      <c r="A157" s="83" t="str">
        <f>IF(TRIM(H157)&lt;&gt;"",COUNTA(H$9:$H157)&amp;"","")</f>
        <v/>
      </c>
      <c r="B157" s="112"/>
      <c r="C157" s="112"/>
      <c r="D157" s="85" t="s">
        <v>102</v>
      </c>
      <c r="E157" s="160" t="s">
        <v>101</v>
      </c>
      <c r="F157" s="87"/>
      <c r="H157" s="88"/>
      <c r="I157" s="89" t="str">
        <f t="shared" ref="I157:I167" si="207">IF(F157=0,"",0)</f>
        <v/>
      </c>
      <c r="J157" s="90" t="str">
        <f t="shared" ref="J157:J167" si="208">IF(F157=0,"",F157+(F157*I157))</f>
        <v/>
      </c>
      <c r="K157" s="91" t="str">
        <f t="shared" ref="K157:K167" si="209">IF(F157=0,"",0)</f>
        <v/>
      </c>
      <c r="L157" s="92" t="str">
        <f t="shared" ref="L157:L167" si="210">IF(F157=0,"",K157*J157)</f>
        <v/>
      </c>
      <c r="M157" s="93" t="str">
        <f t="shared" ref="M157:M167" si="211">IF(F157=0,"",M$7)</f>
        <v/>
      </c>
      <c r="N157" s="94" t="str">
        <f t="shared" ref="N157:N167" si="212">IF(F157=0,"",0)</f>
        <v/>
      </c>
      <c r="O157" s="94" t="str">
        <f t="shared" ref="O157:O167" si="213">IF(F157=0,"",N157*J157)</f>
        <v/>
      </c>
      <c r="P157" s="92" t="str">
        <f t="shared" ref="P157:P167" si="214">IF(F157=0,"",O157*M157)</f>
        <v/>
      </c>
      <c r="Q157" s="95" t="str">
        <f t="shared" ref="Q157:Q167" si="215">IF(F157=0,"",L157+P157)</f>
        <v/>
      </c>
      <c r="R157" s="96"/>
      <c r="S157" s="64"/>
      <c r="T157" s="64"/>
      <c r="U157" s="64"/>
      <c r="V157" s="64"/>
      <c r="W157" s="64"/>
    </row>
    <row r="158" spans="1:23" ht="18.899999999999999" customHeight="1" x14ac:dyDescent="0.3">
      <c r="A158" s="83" t="str">
        <f>IF(TRIM(H158)&lt;&gt;"",COUNTA(H$9:$H158)&amp;"","")</f>
        <v>98</v>
      </c>
      <c r="B158" s="84" t="s">
        <v>228</v>
      </c>
      <c r="C158" s="84"/>
      <c r="D158" s="85"/>
      <c r="E158" s="97" t="s">
        <v>236</v>
      </c>
      <c r="F158" s="87">
        <v>9</v>
      </c>
      <c r="H158" s="88" t="s">
        <v>159</v>
      </c>
      <c r="I158" s="89">
        <f t="shared" si="207"/>
        <v>0</v>
      </c>
      <c r="J158" s="90">
        <f t="shared" si="208"/>
        <v>9</v>
      </c>
      <c r="K158" s="91">
        <v>145.6</v>
      </c>
      <c r="L158" s="92">
        <f t="shared" si="210"/>
        <v>1310.3999999999999</v>
      </c>
      <c r="M158" s="93">
        <f t="shared" si="211"/>
        <v>48.95</v>
      </c>
      <c r="N158" s="94">
        <v>1.7333333333333334</v>
      </c>
      <c r="O158" s="94">
        <f t="shared" si="213"/>
        <v>15.600000000000001</v>
      </c>
      <c r="P158" s="92">
        <f t="shared" si="214"/>
        <v>763.62000000000012</v>
      </c>
      <c r="Q158" s="95">
        <f t="shared" si="215"/>
        <v>2074.02</v>
      </c>
      <c r="R158" s="96"/>
    </row>
    <row r="159" spans="1:23" ht="18.899999999999999" customHeight="1" x14ac:dyDescent="0.3">
      <c r="A159" s="83" t="str">
        <f>IF(TRIM(H159)&lt;&gt;"",COUNTA(H$9:$H159)&amp;"","")</f>
        <v>99</v>
      </c>
      <c r="B159" s="84" t="s">
        <v>228</v>
      </c>
      <c r="C159" s="84"/>
      <c r="D159" s="85"/>
      <c r="E159" s="97" t="s">
        <v>237</v>
      </c>
      <c r="F159" s="87">
        <v>9</v>
      </c>
      <c r="H159" s="88" t="s">
        <v>159</v>
      </c>
      <c r="I159" s="89">
        <f t="shared" si="207"/>
        <v>0</v>
      </c>
      <c r="J159" s="90">
        <f t="shared" si="208"/>
        <v>9</v>
      </c>
      <c r="K159" s="91">
        <v>157.5</v>
      </c>
      <c r="L159" s="92">
        <f t="shared" si="210"/>
        <v>1417.5</v>
      </c>
      <c r="M159" s="93">
        <f t="shared" si="211"/>
        <v>48.95</v>
      </c>
      <c r="N159" s="94">
        <v>1.875</v>
      </c>
      <c r="O159" s="94">
        <f t="shared" si="213"/>
        <v>16.875</v>
      </c>
      <c r="P159" s="92">
        <f t="shared" si="214"/>
        <v>826.03125</v>
      </c>
      <c r="Q159" s="95">
        <f t="shared" si="215"/>
        <v>2243.53125</v>
      </c>
      <c r="R159" s="96"/>
    </row>
    <row r="160" spans="1:23" ht="18.899999999999999" customHeight="1" x14ac:dyDescent="0.3">
      <c r="A160" s="83" t="str">
        <f>IF(TRIM(H160)&lt;&gt;"",COUNTA(H$9:$H160)&amp;"","")</f>
        <v>100</v>
      </c>
      <c r="B160" s="84" t="s">
        <v>228</v>
      </c>
      <c r="C160" s="84"/>
      <c r="D160" s="85"/>
      <c r="E160" s="97" t="s">
        <v>238</v>
      </c>
      <c r="F160" s="87">
        <v>16</v>
      </c>
      <c r="H160" s="88" t="s">
        <v>159</v>
      </c>
      <c r="I160" s="89">
        <f t="shared" si="207"/>
        <v>0</v>
      </c>
      <c r="J160" s="90">
        <f t="shared" si="208"/>
        <v>16</v>
      </c>
      <c r="K160" s="91">
        <v>150.5</v>
      </c>
      <c r="L160" s="92">
        <f t="shared" si="210"/>
        <v>2408</v>
      </c>
      <c r="M160" s="93">
        <f t="shared" si="211"/>
        <v>48.95</v>
      </c>
      <c r="N160" s="94">
        <v>1.7916666666666667</v>
      </c>
      <c r="O160" s="94">
        <f t="shared" si="213"/>
        <v>28.666666666666668</v>
      </c>
      <c r="P160" s="92">
        <f t="shared" si="214"/>
        <v>1403.2333333333336</v>
      </c>
      <c r="Q160" s="95">
        <f t="shared" si="215"/>
        <v>3811.2333333333336</v>
      </c>
      <c r="R160" s="96"/>
    </row>
    <row r="161" spans="1:23" ht="18.899999999999999" customHeight="1" x14ac:dyDescent="0.3">
      <c r="A161" s="83" t="str">
        <f>IF(TRIM(H161)&lt;&gt;"",COUNTA(H$9:$H161)&amp;"","")</f>
        <v>101</v>
      </c>
      <c r="B161" s="84" t="s">
        <v>228</v>
      </c>
      <c r="C161" s="84"/>
      <c r="D161" s="85"/>
      <c r="E161" s="97" t="s">
        <v>239</v>
      </c>
      <c r="F161" s="87">
        <v>26</v>
      </c>
      <c r="G161" s="64">
        <f>3*8.5</f>
        <v>25.5</v>
      </c>
      <c r="H161" s="88" t="s">
        <v>159</v>
      </c>
      <c r="I161" s="89">
        <f t="shared" ref="I161" si="216">IF(F161=0,"",0)</f>
        <v>0</v>
      </c>
      <c r="J161" s="90">
        <f t="shared" ref="J161" si="217">IF(F161=0,"",F161+(F161*I161))</f>
        <v>26</v>
      </c>
      <c r="K161" s="91">
        <v>101.5</v>
      </c>
      <c r="L161" s="92">
        <f t="shared" ref="L161" si="218">IF(F161=0,"",K161*J161)</f>
        <v>2639</v>
      </c>
      <c r="M161" s="93">
        <f t="shared" ref="M161" si="219">IF(F161=0,"",M$7)</f>
        <v>48.95</v>
      </c>
      <c r="N161" s="94">
        <v>1.2083333333333333</v>
      </c>
      <c r="O161" s="94">
        <f t="shared" ref="O161" si="220">IF(F161=0,"",N161*J161)</f>
        <v>31.416666666666664</v>
      </c>
      <c r="P161" s="92">
        <f t="shared" ref="P161" si="221">IF(F161=0,"",O161*M161)</f>
        <v>1537.8458333333333</v>
      </c>
      <c r="Q161" s="95">
        <f t="shared" ref="Q161" si="222">IF(F161=0,"",L161+P161)</f>
        <v>4176.8458333333328</v>
      </c>
      <c r="R161" s="96"/>
    </row>
    <row r="162" spans="1:23" s="113" customFormat="1" ht="19.2" customHeight="1" x14ac:dyDescent="0.3">
      <c r="A162" s="83" t="str">
        <f>IF(TRIM(H162)&lt;&gt;"",COUNTA(H$9:$H162)&amp;"","")</f>
        <v/>
      </c>
      <c r="B162" s="112"/>
      <c r="C162" s="112"/>
      <c r="D162" s="85" t="s">
        <v>104</v>
      </c>
      <c r="E162" s="160" t="s">
        <v>103</v>
      </c>
      <c r="F162" s="87"/>
      <c r="H162" s="88"/>
      <c r="I162" s="89" t="str">
        <f t="shared" si="207"/>
        <v/>
      </c>
      <c r="J162" s="90" t="str">
        <f t="shared" si="208"/>
        <v/>
      </c>
      <c r="K162" s="91" t="s">
        <v>407</v>
      </c>
      <c r="L162" s="92" t="str">
        <f t="shared" si="210"/>
        <v/>
      </c>
      <c r="M162" s="93" t="str">
        <f t="shared" si="211"/>
        <v/>
      </c>
      <c r="N162" s="94" t="s">
        <v>407</v>
      </c>
      <c r="O162" s="94" t="str">
        <f t="shared" si="213"/>
        <v/>
      </c>
      <c r="P162" s="92" t="str">
        <f t="shared" si="214"/>
        <v/>
      </c>
      <c r="Q162" s="95" t="str">
        <f t="shared" si="215"/>
        <v/>
      </c>
      <c r="R162" s="96"/>
      <c r="S162" s="64"/>
      <c r="T162" s="64"/>
      <c r="U162" s="64"/>
      <c r="V162" s="64"/>
      <c r="W162" s="64"/>
    </row>
    <row r="163" spans="1:23" ht="18.899999999999999" customHeight="1" x14ac:dyDescent="0.3">
      <c r="A163" s="83" t="str">
        <f>IF(TRIM(H163)&lt;&gt;"",COUNTA(H$9:$H163)&amp;"","")</f>
        <v>102</v>
      </c>
      <c r="B163" s="84" t="s">
        <v>228</v>
      </c>
      <c r="C163" s="84"/>
      <c r="D163" s="85"/>
      <c r="E163" s="97" t="s">
        <v>235</v>
      </c>
      <c r="F163" s="87">
        <f>11*2.17</f>
        <v>23.869999999999997</v>
      </c>
      <c r="H163" s="88" t="s">
        <v>135</v>
      </c>
      <c r="I163" s="89">
        <f t="shared" si="207"/>
        <v>0</v>
      </c>
      <c r="J163" s="90">
        <f t="shared" si="208"/>
        <v>23.869999999999997</v>
      </c>
      <c r="K163" s="91">
        <v>24</v>
      </c>
      <c r="L163" s="92">
        <f t="shared" si="210"/>
        <v>572.87999999999988</v>
      </c>
      <c r="M163" s="93">
        <f t="shared" si="211"/>
        <v>48.95</v>
      </c>
      <c r="N163" s="94">
        <v>0.44444444444444442</v>
      </c>
      <c r="O163" s="94">
        <f t="shared" si="213"/>
        <v>10.608888888888886</v>
      </c>
      <c r="P163" s="92">
        <f t="shared" si="214"/>
        <v>519.30511111111105</v>
      </c>
      <c r="Q163" s="95">
        <f t="shared" si="215"/>
        <v>1092.1851111111109</v>
      </c>
      <c r="R163" s="96"/>
    </row>
    <row r="164" spans="1:23" s="113" customFormat="1" ht="19.2" customHeight="1" x14ac:dyDescent="0.3">
      <c r="A164" s="83" t="str">
        <f>IF(TRIM(H164)&lt;&gt;"",COUNTA(H$9:$H164)&amp;"","")</f>
        <v/>
      </c>
      <c r="B164" s="112"/>
      <c r="C164" s="112"/>
      <c r="D164" s="85" t="s">
        <v>106</v>
      </c>
      <c r="E164" s="160" t="s">
        <v>105</v>
      </c>
      <c r="F164" s="87"/>
      <c r="H164" s="88"/>
      <c r="I164" s="89" t="str">
        <f t="shared" si="207"/>
        <v/>
      </c>
      <c r="J164" s="90" t="str">
        <f t="shared" si="208"/>
        <v/>
      </c>
      <c r="K164" s="91" t="s">
        <v>407</v>
      </c>
      <c r="L164" s="92" t="str">
        <f t="shared" si="210"/>
        <v/>
      </c>
      <c r="M164" s="93" t="str">
        <f t="shared" si="211"/>
        <v/>
      </c>
      <c r="N164" s="94" t="s">
        <v>407</v>
      </c>
      <c r="O164" s="94" t="str">
        <f t="shared" si="213"/>
        <v/>
      </c>
      <c r="P164" s="92" t="str">
        <f t="shared" si="214"/>
        <v/>
      </c>
      <c r="Q164" s="95" t="str">
        <f t="shared" si="215"/>
        <v/>
      </c>
      <c r="R164" s="96"/>
      <c r="S164" s="64"/>
      <c r="T164" s="64"/>
      <c r="U164" s="64"/>
      <c r="V164" s="64"/>
      <c r="W164" s="64"/>
    </row>
    <row r="165" spans="1:23" ht="18.899999999999999" customHeight="1" x14ac:dyDescent="0.3">
      <c r="A165" s="83" t="s">
        <v>405</v>
      </c>
      <c r="B165" s="84" t="s">
        <v>228</v>
      </c>
      <c r="C165" s="84"/>
      <c r="D165" s="85"/>
      <c r="E165" s="97" t="s">
        <v>234</v>
      </c>
      <c r="F165" s="87">
        <v>1</v>
      </c>
      <c r="H165" s="88" t="s">
        <v>181</v>
      </c>
      <c r="I165" s="89">
        <f t="shared" si="207"/>
        <v>0</v>
      </c>
      <c r="J165" s="90">
        <f t="shared" si="208"/>
        <v>1</v>
      </c>
      <c r="K165" s="91">
        <v>735</v>
      </c>
      <c r="L165" s="92">
        <f t="shared" si="210"/>
        <v>735</v>
      </c>
      <c r="M165" s="93">
        <f t="shared" si="211"/>
        <v>48.95</v>
      </c>
      <c r="N165" s="94">
        <v>8.75</v>
      </c>
      <c r="O165" s="94">
        <f t="shared" si="213"/>
        <v>8.75</v>
      </c>
      <c r="P165" s="92">
        <f t="shared" si="214"/>
        <v>428.3125</v>
      </c>
      <c r="Q165" s="95">
        <f t="shared" si="215"/>
        <v>1163.3125</v>
      </c>
      <c r="R165" s="96"/>
    </row>
    <row r="166" spans="1:23" ht="27.6" x14ac:dyDescent="0.3">
      <c r="A166" s="83" t="str">
        <f>IF(TRIM(H166)&lt;&gt;"",COUNTA(H$9:$H166)&amp;"","")</f>
        <v>104</v>
      </c>
      <c r="B166" s="84" t="s">
        <v>244</v>
      </c>
      <c r="C166" s="150" t="s">
        <v>248</v>
      </c>
      <c r="D166" s="85"/>
      <c r="E166" s="97" t="s">
        <v>247</v>
      </c>
      <c r="F166" s="87">
        <v>1</v>
      </c>
      <c r="H166" s="88" t="s">
        <v>181</v>
      </c>
      <c r="I166" s="89">
        <f t="shared" si="207"/>
        <v>0</v>
      </c>
      <c r="J166" s="90">
        <f t="shared" si="208"/>
        <v>1</v>
      </c>
      <c r="K166" s="91">
        <v>1586</v>
      </c>
      <c r="L166" s="92">
        <f t="shared" si="210"/>
        <v>1586</v>
      </c>
      <c r="M166" s="93">
        <f t="shared" si="211"/>
        <v>48.95</v>
      </c>
      <c r="N166" s="94">
        <v>11.013888888888889</v>
      </c>
      <c r="O166" s="94">
        <f t="shared" si="213"/>
        <v>11.013888888888889</v>
      </c>
      <c r="P166" s="92">
        <f t="shared" si="214"/>
        <v>539.12986111111115</v>
      </c>
      <c r="Q166" s="95">
        <f t="shared" si="215"/>
        <v>2125.129861111111</v>
      </c>
      <c r="R166" s="96"/>
    </row>
    <row r="167" spans="1:23" ht="15" thickBot="1" x14ac:dyDescent="0.35">
      <c r="A167" s="83" t="str">
        <f>IF(TRIM(H167)&lt;&gt;"",COUNTA(H$9:$H167)&amp;"","")</f>
        <v/>
      </c>
      <c r="B167" s="98"/>
      <c r="C167" s="98"/>
      <c r="D167" s="85"/>
      <c r="E167" s="99"/>
      <c r="F167" s="87"/>
      <c r="H167" s="88"/>
      <c r="I167" s="89" t="str">
        <f t="shared" si="207"/>
        <v/>
      </c>
      <c r="J167" s="90" t="str">
        <f t="shared" si="208"/>
        <v/>
      </c>
      <c r="K167" s="91" t="str">
        <f t="shared" si="209"/>
        <v/>
      </c>
      <c r="L167" s="92" t="str">
        <f t="shared" si="210"/>
        <v/>
      </c>
      <c r="M167" s="93" t="str">
        <f t="shared" si="211"/>
        <v/>
      </c>
      <c r="N167" s="94" t="str">
        <f t="shared" si="212"/>
        <v/>
      </c>
      <c r="O167" s="94" t="str">
        <f t="shared" si="213"/>
        <v/>
      </c>
      <c r="P167" s="92" t="str">
        <f t="shared" si="214"/>
        <v/>
      </c>
      <c r="Q167" s="95" t="str">
        <f t="shared" si="215"/>
        <v/>
      </c>
      <c r="R167" s="96"/>
    </row>
    <row r="168" spans="1:23" s="111" customFormat="1" ht="16.2" thickBot="1" x14ac:dyDescent="0.35">
      <c r="A168" s="83" t="str">
        <f>IF(TRIM(H168)&lt;&gt;"",COUNTA(H$9:$H168)&amp;"","")</f>
        <v/>
      </c>
      <c r="B168" s="118"/>
      <c r="C168" s="118"/>
      <c r="D168" s="119"/>
      <c r="E168" s="102"/>
      <c r="F168" s="87"/>
      <c r="H168" s="120"/>
      <c r="I168" s="105" t="s">
        <v>12</v>
      </c>
      <c r="J168" s="106"/>
      <c r="K168" s="107">
        <f>SUM(L$156:L$167)</f>
        <v>10668.779999999999</v>
      </c>
      <c r="L168" s="198" t="s">
        <v>13</v>
      </c>
      <c r="M168" s="199"/>
      <c r="N168" s="108">
        <f>SUM(P$156:P$167)</f>
        <v>6017.4778888888895</v>
      </c>
      <c r="O168" s="198" t="s">
        <v>42</v>
      </c>
      <c r="P168" s="199"/>
      <c r="Q168" s="109">
        <f>SUM(O$156:O$167)</f>
        <v>122.93111111111111</v>
      </c>
      <c r="R168" s="110">
        <f>SUM(Q$156:Q$167)</f>
        <v>16686.257888888889</v>
      </c>
      <c r="S168" s="64"/>
      <c r="T168" s="64"/>
      <c r="U168" s="64"/>
      <c r="V168" s="64"/>
      <c r="W168" s="64"/>
    </row>
    <row r="169" spans="1:23" s="166" customFormat="1" ht="20.100000000000001" customHeight="1" x14ac:dyDescent="0.3">
      <c r="A169" s="164" t="str">
        <f>IF(TRIM(H169)&lt;&gt;"",COUNTA(H$9:$H169)&amp;"","")</f>
        <v/>
      </c>
      <c r="B169" s="165"/>
      <c r="C169" s="165"/>
      <c r="D169" s="166">
        <v>220000</v>
      </c>
      <c r="E169" s="166" t="s">
        <v>127</v>
      </c>
      <c r="F169" s="167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8"/>
    </row>
    <row r="170" spans="1:23" ht="15.6" x14ac:dyDescent="0.3">
      <c r="A170" s="83" t="str">
        <f>IF(TRIM(H170)&lt;&gt;"",COUNTA(H$9:$H170)&amp;"","")</f>
        <v/>
      </c>
      <c r="B170" s="84"/>
      <c r="C170" s="84"/>
      <c r="D170" s="85"/>
      <c r="E170" s="160" t="s">
        <v>149</v>
      </c>
      <c r="F170" s="87"/>
      <c r="H170" s="88"/>
      <c r="I170" s="89" t="str">
        <f t="shared" ref="I170:I210" si="223">IF(F170=0,"",0)</f>
        <v/>
      </c>
      <c r="J170" s="90" t="str">
        <f t="shared" ref="J170:J219" si="224">IF(F170=0,"",F170+(F170*I170))</f>
        <v/>
      </c>
      <c r="K170" s="91" t="str">
        <f t="shared" ref="K170:K219" si="225">IF(F170=0,"",0)</f>
        <v/>
      </c>
      <c r="L170" s="92" t="str">
        <f t="shared" ref="L170:L219" si="226">IF(F170=0,"",K170*J170)</f>
        <v/>
      </c>
      <c r="M170" s="93" t="str">
        <f t="shared" ref="M170:M219" si="227">IF(F170=0,"",M$7)</f>
        <v/>
      </c>
      <c r="N170" s="94" t="str">
        <f t="shared" ref="N170:N219" si="228">IF(F170=0,"",0)</f>
        <v/>
      </c>
      <c r="O170" s="94" t="str">
        <f t="shared" ref="O170:O219" si="229">IF(F170=0,"",N170*J170)</f>
        <v/>
      </c>
      <c r="P170" s="92" t="str">
        <f t="shared" ref="P170:P219" si="230">IF(F170=0,"",O170*M170)</f>
        <v/>
      </c>
      <c r="Q170" s="95" t="str">
        <f t="shared" ref="Q170:Q219" si="231">IF(F170=0,"",L170+P170)</f>
        <v/>
      </c>
      <c r="R170" s="116"/>
    </row>
    <row r="171" spans="1:23" ht="27.6" x14ac:dyDescent="0.3">
      <c r="A171" s="83" t="str">
        <f>IF(TRIM(H171)&lt;&gt;"",COUNTA(H$9:$H171)&amp;"","")</f>
        <v/>
      </c>
      <c r="B171" s="84"/>
      <c r="C171" s="84"/>
      <c r="D171" s="85"/>
      <c r="E171" s="121" t="s">
        <v>273</v>
      </c>
      <c r="F171" s="87"/>
      <c r="H171" s="88"/>
      <c r="I171" s="89" t="str">
        <f t="shared" si="223"/>
        <v/>
      </c>
      <c r="J171" s="90" t="str">
        <f t="shared" si="224"/>
        <v/>
      </c>
      <c r="K171" s="91" t="str">
        <f t="shared" si="225"/>
        <v/>
      </c>
      <c r="L171" s="92" t="str">
        <f t="shared" si="226"/>
        <v/>
      </c>
      <c r="M171" s="93" t="str">
        <f t="shared" si="227"/>
        <v/>
      </c>
      <c r="N171" s="94" t="str">
        <f t="shared" si="228"/>
        <v/>
      </c>
      <c r="O171" s="94" t="str">
        <f t="shared" si="229"/>
        <v/>
      </c>
      <c r="P171" s="92" t="str">
        <f t="shared" si="230"/>
        <v/>
      </c>
      <c r="Q171" s="95" t="str">
        <f t="shared" si="231"/>
        <v/>
      </c>
      <c r="R171" s="116"/>
    </row>
    <row r="172" spans="1:23" ht="18.899999999999999" customHeight="1" x14ac:dyDescent="0.3">
      <c r="A172" s="83" t="str">
        <f>IF(TRIM(H172)&lt;&gt;"",COUNTA(H$9:$H172)&amp;"","")</f>
        <v>105</v>
      </c>
      <c r="B172" s="84" t="s">
        <v>263</v>
      </c>
      <c r="C172" s="151" t="s">
        <v>274</v>
      </c>
      <c r="D172" s="85"/>
      <c r="E172" s="86" t="s">
        <v>275</v>
      </c>
      <c r="F172" s="87">
        <v>4</v>
      </c>
      <c r="H172" s="88" t="s">
        <v>159</v>
      </c>
      <c r="I172" s="89">
        <v>0.05</v>
      </c>
      <c r="J172" s="90">
        <f t="shared" si="224"/>
        <v>4.2</v>
      </c>
      <c r="K172" s="91">
        <v>9.24</v>
      </c>
      <c r="L172" s="92">
        <f t="shared" si="226"/>
        <v>38.808</v>
      </c>
      <c r="M172" s="93">
        <f t="shared" si="227"/>
        <v>48.95</v>
      </c>
      <c r="N172" s="94">
        <v>0.1711111111111111</v>
      </c>
      <c r="O172" s="94">
        <f t="shared" si="229"/>
        <v>0.71866666666666668</v>
      </c>
      <c r="P172" s="92">
        <f t="shared" si="230"/>
        <v>35.178733333333334</v>
      </c>
      <c r="Q172" s="95">
        <f t="shared" si="231"/>
        <v>73.986733333333333</v>
      </c>
      <c r="R172" s="116"/>
    </row>
    <row r="173" spans="1:23" ht="18.899999999999999" customHeight="1" x14ac:dyDescent="0.3">
      <c r="A173" s="83" t="str">
        <f>IF(TRIM(H173)&lt;&gt;"",COUNTA(H$9:$H173)&amp;"","")</f>
        <v>106</v>
      </c>
      <c r="B173" s="84" t="s">
        <v>263</v>
      </c>
      <c r="C173" s="151" t="s">
        <v>274</v>
      </c>
      <c r="D173" s="85"/>
      <c r="E173" s="86" t="s">
        <v>276</v>
      </c>
      <c r="F173" s="87">
        <v>16.25</v>
      </c>
      <c r="H173" s="88" t="s">
        <v>159</v>
      </c>
      <c r="I173" s="89">
        <v>0.05</v>
      </c>
      <c r="J173" s="90">
        <f t="shared" si="224"/>
        <v>17.0625</v>
      </c>
      <c r="K173" s="91">
        <v>11.760000000000002</v>
      </c>
      <c r="L173" s="92">
        <f t="shared" si="226"/>
        <v>200.65500000000003</v>
      </c>
      <c r="M173" s="93">
        <f t="shared" si="227"/>
        <v>48.95</v>
      </c>
      <c r="N173" s="94">
        <v>0.21777777777777779</v>
      </c>
      <c r="O173" s="94">
        <f t="shared" si="229"/>
        <v>3.7158333333333338</v>
      </c>
      <c r="P173" s="92">
        <f t="shared" si="230"/>
        <v>181.89004166666669</v>
      </c>
      <c r="Q173" s="95">
        <f t="shared" si="231"/>
        <v>382.54504166666675</v>
      </c>
      <c r="R173" s="116"/>
    </row>
    <row r="174" spans="1:23" ht="18.899999999999999" customHeight="1" x14ac:dyDescent="0.3">
      <c r="A174" s="83" t="str">
        <f>IF(TRIM(H174)&lt;&gt;"",COUNTA(H$9:$H174)&amp;"","")</f>
        <v>107</v>
      </c>
      <c r="B174" s="84" t="s">
        <v>263</v>
      </c>
      <c r="C174" s="151" t="s">
        <v>274</v>
      </c>
      <c r="D174" s="85"/>
      <c r="E174" s="97" t="s">
        <v>277</v>
      </c>
      <c r="F174" s="87">
        <v>3.5</v>
      </c>
      <c r="H174" s="88" t="s">
        <v>159</v>
      </c>
      <c r="I174" s="89">
        <v>0.05</v>
      </c>
      <c r="J174" s="90">
        <f t="shared" si="224"/>
        <v>3.6749999999999998</v>
      </c>
      <c r="K174" s="91">
        <v>20.16</v>
      </c>
      <c r="L174" s="92">
        <f t="shared" si="226"/>
        <v>74.087999999999994</v>
      </c>
      <c r="M174" s="93">
        <f t="shared" si="227"/>
        <v>48.95</v>
      </c>
      <c r="N174" s="94">
        <v>0.37333333333333335</v>
      </c>
      <c r="O174" s="94">
        <f t="shared" si="229"/>
        <v>1.3719999999999999</v>
      </c>
      <c r="P174" s="92">
        <f t="shared" si="230"/>
        <v>67.159400000000005</v>
      </c>
      <c r="Q174" s="95">
        <f t="shared" si="231"/>
        <v>141.2474</v>
      </c>
      <c r="R174" s="116"/>
    </row>
    <row r="175" spans="1:23" ht="18.899999999999999" customHeight="1" x14ac:dyDescent="0.3">
      <c r="A175" s="83" t="str">
        <f>IF(TRIM(H175)&lt;&gt;"",COUNTA(H$9:$H175)&amp;"","")</f>
        <v>108</v>
      </c>
      <c r="B175" s="84" t="s">
        <v>263</v>
      </c>
      <c r="C175" s="84"/>
      <c r="D175" s="85"/>
      <c r="E175" s="97" t="s">
        <v>278</v>
      </c>
      <c r="F175" s="87">
        <v>18.989999999999998</v>
      </c>
      <c r="H175" s="88" t="s">
        <v>159</v>
      </c>
      <c r="I175" s="89">
        <v>0.05</v>
      </c>
      <c r="J175" s="90">
        <f t="shared" si="224"/>
        <v>19.939499999999999</v>
      </c>
      <c r="K175" s="91">
        <v>9.24</v>
      </c>
      <c r="L175" s="92">
        <f t="shared" si="226"/>
        <v>184.24098000000001</v>
      </c>
      <c r="M175" s="93">
        <f t="shared" si="227"/>
        <v>48.95</v>
      </c>
      <c r="N175" s="94">
        <v>0.1711111111111111</v>
      </c>
      <c r="O175" s="94">
        <f t="shared" si="229"/>
        <v>3.4118699999999995</v>
      </c>
      <c r="P175" s="92">
        <f t="shared" si="230"/>
        <v>167.01103649999999</v>
      </c>
      <c r="Q175" s="95">
        <f t="shared" si="231"/>
        <v>351.25201649999997</v>
      </c>
      <c r="R175" s="116"/>
    </row>
    <row r="176" spans="1:23" ht="18.899999999999999" customHeight="1" x14ac:dyDescent="0.3">
      <c r="A176" s="83" t="str">
        <f>IF(TRIM(H176)&lt;&gt;"",COUNTA(H$9:$H176)&amp;"","")</f>
        <v>109</v>
      </c>
      <c r="B176" s="84" t="s">
        <v>263</v>
      </c>
      <c r="C176" s="84"/>
      <c r="D176" s="85"/>
      <c r="E176" s="97" t="s">
        <v>279</v>
      </c>
      <c r="F176" s="87">
        <v>35.93</v>
      </c>
      <c r="H176" s="88" t="s">
        <v>159</v>
      </c>
      <c r="I176" s="89">
        <v>0.05</v>
      </c>
      <c r="J176" s="90">
        <f t="shared" si="224"/>
        <v>37.726500000000001</v>
      </c>
      <c r="K176" s="91">
        <v>11.760000000000002</v>
      </c>
      <c r="L176" s="92">
        <f t="shared" si="226"/>
        <v>443.6636400000001</v>
      </c>
      <c r="M176" s="93">
        <f t="shared" si="227"/>
        <v>48.95</v>
      </c>
      <c r="N176" s="94">
        <v>0.21777777777777779</v>
      </c>
      <c r="O176" s="94">
        <f t="shared" si="229"/>
        <v>8.2159933333333335</v>
      </c>
      <c r="P176" s="92">
        <f t="shared" si="230"/>
        <v>402.1728736666667</v>
      </c>
      <c r="Q176" s="95">
        <f t="shared" si="231"/>
        <v>845.83651366666686</v>
      </c>
      <c r="R176" s="116"/>
    </row>
    <row r="177" spans="1:18" ht="18.899999999999999" customHeight="1" x14ac:dyDescent="0.3">
      <c r="A177" s="83" t="str">
        <f>IF(TRIM(H177)&lt;&gt;"",COUNTA(H$9:$H177)&amp;"","")</f>
        <v>110</v>
      </c>
      <c r="B177" s="84" t="s">
        <v>263</v>
      </c>
      <c r="C177" s="84"/>
      <c r="D177" s="85"/>
      <c r="E177" s="152" t="s">
        <v>280</v>
      </c>
      <c r="F177" s="87">
        <v>3</v>
      </c>
      <c r="H177" s="88" t="s">
        <v>181</v>
      </c>
      <c r="I177" s="89">
        <f t="shared" si="223"/>
        <v>0</v>
      </c>
      <c r="J177" s="90">
        <f t="shared" si="224"/>
        <v>3</v>
      </c>
      <c r="K177" s="91">
        <v>8.4</v>
      </c>
      <c r="L177" s="92">
        <f t="shared" si="226"/>
        <v>25.200000000000003</v>
      </c>
      <c r="M177" s="93">
        <f t="shared" si="227"/>
        <v>48.95</v>
      </c>
      <c r="N177" s="94">
        <v>5.8333333333333334E-2</v>
      </c>
      <c r="O177" s="94">
        <f t="shared" si="229"/>
        <v>0.17499999999999999</v>
      </c>
      <c r="P177" s="92">
        <f t="shared" si="230"/>
        <v>8.5662500000000001</v>
      </c>
      <c r="Q177" s="95">
        <f t="shared" si="231"/>
        <v>33.766249999999999</v>
      </c>
      <c r="R177" s="116"/>
    </row>
    <row r="178" spans="1:18" ht="18.899999999999999" customHeight="1" x14ac:dyDescent="0.3">
      <c r="A178" s="83" t="str">
        <f>IF(TRIM(H178)&lt;&gt;"",COUNTA(H$9:$H178)&amp;"","")</f>
        <v>111</v>
      </c>
      <c r="B178" s="84" t="s">
        <v>263</v>
      </c>
      <c r="C178" s="84"/>
      <c r="D178" s="85"/>
      <c r="E178" s="153" t="s">
        <v>281</v>
      </c>
      <c r="F178" s="87">
        <v>5</v>
      </c>
      <c r="H178" s="88" t="s">
        <v>181</v>
      </c>
      <c r="I178" s="89">
        <f t="shared" si="223"/>
        <v>0</v>
      </c>
      <c r="J178" s="90">
        <f t="shared" si="224"/>
        <v>5</v>
      </c>
      <c r="K178" s="91">
        <v>8.8000000000000007</v>
      </c>
      <c r="L178" s="92">
        <f t="shared" si="226"/>
        <v>44</v>
      </c>
      <c r="M178" s="93">
        <f t="shared" si="227"/>
        <v>48.95</v>
      </c>
      <c r="N178" s="94">
        <v>6.1111111111111116E-2</v>
      </c>
      <c r="O178" s="94">
        <f t="shared" si="229"/>
        <v>0.30555555555555558</v>
      </c>
      <c r="P178" s="92">
        <f t="shared" si="230"/>
        <v>14.956944444444446</v>
      </c>
      <c r="Q178" s="95">
        <f t="shared" si="231"/>
        <v>58.956944444444446</v>
      </c>
      <c r="R178" s="116"/>
    </row>
    <row r="179" spans="1:18" ht="18.899999999999999" customHeight="1" x14ac:dyDescent="0.3">
      <c r="A179" s="83" t="str">
        <f>IF(TRIM(H179)&lt;&gt;"",COUNTA(H$9:$H179)&amp;"","")</f>
        <v>112</v>
      </c>
      <c r="B179" s="84" t="s">
        <v>263</v>
      </c>
      <c r="C179" s="84"/>
      <c r="D179" s="85"/>
      <c r="E179" s="153" t="s">
        <v>282</v>
      </c>
      <c r="F179" s="87">
        <v>1</v>
      </c>
      <c r="H179" s="88" t="s">
        <v>181</v>
      </c>
      <c r="I179" s="89">
        <f t="shared" si="223"/>
        <v>0</v>
      </c>
      <c r="J179" s="90">
        <f t="shared" si="224"/>
        <v>1</v>
      </c>
      <c r="K179" s="91">
        <v>10</v>
      </c>
      <c r="L179" s="92">
        <f t="shared" si="226"/>
        <v>10</v>
      </c>
      <c r="M179" s="93">
        <f t="shared" si="227"/>
        <v>48.95</v>
      </c>
      <c r="N179" s="94">
        <v>6.9444444444444448E-2</v>
      </c>
      <c r="O179" s="94">
        <f t="shared" si="229"/>
        <v>6.9444444444444448E-2</v>
      </c>
      <c r="P179" s="92">
        <f t="shared" si="230"/>
        <v>3.3993055555555558</v>
      </c>
      <c r="Q179" s="95">
        <f t="shared" si="231"/>
        <v>13.399305555555555</v>
      </c>
      <c r="R179" s="116"/>
    </row>
    <row r="180" spans="1:18" ht="18.899999999999999" customHeight="1" x14ac:dyDescent="0.3">
      <c r="A180" s="83" t="str">
        <f>IF(TRIM(H180)&lt;&gt;"",COUNTA(H$9:$H180)&amp;"","")</f>
        <v>113</v>
      </c>
      <c r="B180" s="84" t="s">
        <v>263</v>
      </c>
      <c r="C180" s="84"/>
      <c r="D180" s="85"/>
      <c r="E180" s="152" t="s">
        <v>283</v>
      </c>
      <c r="F180" s="87">
        <v>6</v>
      </c>
      <c r="H180" s="88" t="s">
        <v>181</v>
      </c>
      <c r="I180" s="89">
        <f t="shared" si="223"/>
        <v>0</v>
      </c>
      <c r="J180" s="90">
        <f t="shared" si="224"/>
        <v>6</v>
      </c>
      <c r="K180" s="91">
        <v>8.8000000000000007</v>
      </c>
      <c r="L180" s="92">
        <f t="shared" si="226"/>
        <v>52.800000000000004</v>
      </c>
      <c r="M180" s="93">
        <f t="shared" si="227"/>
        <v>48.95</v>
      </c>
      <c r="N180" s="94">
        <v>6.1111111111111116E-2</v>
      </c>
      <c r="O180" s="94">
        <f t="shared" si="229"/>
        <v>0.3666666666666667</v>
      </c>
      <c r="P180" s="92">
        <f t="shared" si="230"/>
        <v>17.948333333333334</v>
      </c>
      <c r="Q180" s="95">
        <f t="shared" si="231"/>
        <v>70.748333333333335</v>
      </c>
      <c r="R180" s="116"/>
    </row>
    <row r="181" spans="1:18" ht="18.899999999999999" customHeight="1" x14ac:dyDescent="0.3">
      <c r="A181" s="83" t="str">
        <f>IF(TRIM(H181)&lt;&gt;"",COUNTA(H$9:$H181)&amp;"","")</f>
        <v>114</v>
      </c>
      <c r="B181" s="84" t="s">
        <v>263</v>
      </c>
      <c r="C181" s="84"/>
      <c r="D181" s="85"/>
      <c r="E181" s="152" t="s">
        <v>284</v>
      </c>
      <c r="F181" s="87">
        <v>2</v>
      </c>
      <c r="H181" s="88" t="s">
        <v>181</v>
      </c>
      <c r="I181" s="89">
        <f t="shared" si="223"/>
        <v>0</v>
      </c>
      <c r="J181" s="90">
        <f t="shared" si="224"/>
        <v>2</v>
      </c>
      <c r="K181" s="91">
        <v>8.8000000000000007</v>
      </c>
      <c r="L181" s="92">
        <f t="shared" si="226"/>
        <v>17.600000000000001</v>
      </c>
      <c r="M181" s="93">
        <f t="shared" si="227"/>
        <v>48.95</v>
      </c>
      <c r="N181" s="94">
        <v>6.1111111111111116E-2</v>
      </c>
      <c r="O181" s="94">
        <f t="shared" si="229"/>
        <v>0.12222222222222223</v>
      </c>
      <c r="P181" s="92">
        <f t="shared" si="230"/>
        <v>5.9827777777777786</v>
      </c>
      <c r="Q181" s="95">
        <f t="shared" si="231"/>
        <v>23.582777777777778</v>
      </c>
      <c r="R181" s="116"/>
    </row>
    <row r="182" spans="1:18" ht="18.899999999999999" customHeight="1" x14ac:dyDescent="0.3">
      <c r="A182" s="83" t="str">
        <f>IF(TRIM(H182)&lt;&gt;"",COUNTA(H$9:$H182)&amp;"","")</f>
        <v>115</v>
      </c>
      <c r="B182" s="84" t="s">
        <v>263</v>
      </c>
      <c r="C182" s="84"/>
      <c r="D182" s="85"/>
      <c r="E182" s="152" t="s">
        <v>285</v>
      </c>
      <c r="F182" s="87">
        <v>2</v>
      </c>
      <c r="H182" s="88" t="s">
        <v>181</v>
      </c>
      <c r="I182" s="89">
        <f t="shared" si="223"/>
        <v>0</v>
      </c>
      <c r="J182" s="90">
        <f t="shared" si="224"/>
        <v>2</v>
      </c>
      <c r="K182" s="91">
        <v>8.4</v>
      </c>
      <c r="L182" s="92">
        <f t="shared" si="226"/>
        <v>16.8</v>
      </c>
      <c r="M182" s="93">
        <f t="shared" si="227"/>
        <v>48.95</v>
      </c>
      <c r="N182" s="94">
        <v>5.8333333333333334E-2</v>
      </c>
      <c r="O182" s="94">
        <f t="shared" si="229"/>
        <v>0.11666666666666667</v>
      </c>
      <c r="P182" s="92">
        <f t="shared" si="230"/>
        <v>5.7108333333333334</v>
      </c>
      <c r="Q182" s="95">
        <f t="shared" si="231"/>
        <v>22.510833333333334</v>
      </c>
      <c r="R182" s="116"/>
    </row>
    <row r="183" spans="1:18" ht="18.899999999999999" customHeight="1" x14ac:dyDescent="0.3">
      <c r="A183" s="83" t="str">
        <f>IF(TRIM(H183)&lt;&gt;"",COUNTA(H$9:$H183)&amp;"","")</f>
        <v>116</v>
      </c>
      <c r="B183" s="84" t="s">
        <v>263</v>
      </c>
      <c r="C183" s="84"/>
      <c r="D183" s="85"/>
      <c r="E183" s="152" t="s">
        <v>286</v>
      </c>
      <c r="F183" s="87">
        <v>3</v>
      </c>
      <c r="H183" s="88" t="s">
        <v>181</v>
      </c>
      <c r="I183" s="89">
        <f t="shared" si="223"/>
        <v>0</v>
      </c>
      <c r="J183" s="90">
        <f t="shared" si="224"/>
        <v>3</v>
      </c>
      <c r="K183" s="91">
        <v>8.8000000000000007</v>
      </c>
      <c r="L183" s="92">
        <f t="shared" si="226"/>
        <v>26.400000000000002</v>
      </c>
      <c r="M183" s="93">
        <f t="shared" si="227"/>
        <v>48.95</v>
      </c>
      <c r="N183" s="94">
        <v>6.1111111111111116E-2</v>
      </c>
      <c r="O183" s="94">
        <f t="shared" si="229"/>
        <v>0.18333333333333335</v>
      </c>
      <c r="P183" s="92">
        <f t="shared" si="230"/>
        <v>8.9741666666666671</v>
      </c>
      <c r="Q183" s="95">
        <f t="shared" si="231"/>
        <v>35.374166666666667</v>
      </c>
      <c r="R183" s="116"/>
    </row>
    <row r="184" spans="1:18" ht="18.899999999999999" customHeight="1" x14ac:dyDescent="0.3">
      <c r="A184" s="83" t="str">
        <f>IF(TRIM(H184)&lt;&gt;"",COUNTA(H$9:$H184)&amp;"","")</f>
        <v>117</v>
      </c>
      <c r="B184" s="84" t="s">
        <v>263</v>
      </c>
      <c r="C184" s="84"/>
      <c r="D184" s="85"/>
      <c r="E184" s="153" t="s">
        <v>287</v>
      </c>
      <c r="F184" s="87">
        <v>1</v>
      </c>
      <c r="H184" s="88" t="s">
        <v>181</v>
      </c>
      <c r="I184" s="89">
        <f t="shared" si="223"/>
        <v>0</v>
      </c>
      <c r="J184" s="90">
        <f t="shared" si="224"/>
        <v>1</v>
      </c>
      <c r="K184" s="91">
        <v>10</v>
      </c>
      <c r="L184" s="92">
        <f t="shared" si="226"/>
        <v>10</v>
      </c>
      <c r="M184" s="93">
        <f t="shared" si="227"/>
        <v>48.95</v>
      </c>
      <c r="N184" s="94">
        <v>6.9444444444444448E-2</v>
      </c>
      <c r="O184" s="94">
        <f t="shared" si="229"/>
        <v>6.9444444444444448E-2</v>
      </c>
      <c r="P184" s="92">
        <f t="shared" si="230"/>
        <v>3.3993055555555558</v>
      </c>
      <c r="Q184" s="95">
        <f t="shared" si="231"/>
        <v>13.399305555555555</v>
      </c>
      <c r="R184" s="116"/>
    </row>
    <row r="185" spans="1:18" ht="18.899999999999999" customHeight="1" x14ac:dyDescent="0.3">
      <c r="A185" s="83" t="str">
        <f>IF(TRIM(H185)&lt;&gt;"",COUNTA(H$9:$H185)&amp;"","")</f>
        <v>118</v>
      </c>
      <c r="B185" s="84" t="s">
        <v>263</v>
      </c>
      <c r="C185" s="84"/>
      <c r="D185" s="85"/>
      <c r="E185" s="153" t="s">
        <v>288</v>
      </c>
      <c r="F185" s="87">
        <v>3</v>
      </c>
      <c r="H185" s="88" t="s">
        <v>181</v>
      </c>
      <c r="I185" s="89">
        <f t="shared" si="223"/>
        <v>0</v>
      </c>
      <c r="J185" s="90">
        <f t="shared" si="224"/>
        <v>3</v>
      </c>
      <c r="K185" s="91">
        <v>8.6</v>
      </c>
      <c r="L185" s="92">
        <f t="shared" si="226"/>
        <v>25.799999999999997</v>
      </c>
      <c r="M185" s="93">
        <f t="shared" si="227"/>
        <v>48.95</v>
      </c>
      <c r="N185" s="94">
        <v>5.9722222222222218E-2</v>
      </c>
      <c r="O185" s="94">
        <f t="shared" si="229"/>
        <v>0.17916666666666664</v>
      </c>
      <c r="P185" s="92">
        <f t="shared" si="230"/>
        <v>8.7702083333333327</v>
      </c>
      <c r="Q185" s="95">
        <f t="shared" si="231"/>
        <v>34.570208333333326</v>
      </c>
      <c r="R185" s="116"/>
    </row>
    <row r="186" spans="1:18" ht="18.899999999999999" customHeight="1" x14ac:dyDescent="0.3">
      <c r="A186" s="83" t="str">
        <f>IF(TRIM(H186)&lt;&gt;"",COUNTA(H$9:$H186)&amp;"","")</f>
        <v>119</v>
      </c>
      <c r="B186" s="84" t="s">
        <v>263</v>
      </c>
      <c r="C186" s="84"/>
      <c r="D186" s="85"/>
      <c r="E186" s="152" t="s">
        <v>289</v>
      </c>
      <c r="F186" s="87">
        <v>2</v>
      </c>
      <c r="H186" s="88" t="s">
        <v>181</v>
      </c>
      <c r="I186" s="89">
        <f t="shared" si="223"/>
        <v>0</v>
      </c>
      <c r="J186" s="90">
        <f t="shared" si="224"/>
        <v>2</v>
      </c>
      <c r="K186" s="91">
        <v>9.4</v>
      </c>
      <c r="L186" s="92">
        <f t="shared" si="226"/>
        <v>18.8</v>
      </c>
      <c r="M186" s="93">
        <f t="shared" si="227"/>
        <v>48.95</v>
      </c>
      <c r="N186" s="94">
        <v>6.5277777777777782E-2</v>
      </c>
      <c r="O186" s="94">
        <f t="shared" si="229"/>
        <v>0.13055555555555556</v>
      </c>
      <c r="P186" s="92">
        <f t="shared" si="230"/>
        <v>6.3906944444444456</v>
      </c>
      <c r="Q186" s="95">
        <f t="shared" si="231"/>
        <v>25.190694444444446</v>
      </c>
      <c r="R186" s="116"/>
    </row>
    <row r="187" spans="1:18" ht="18.899999999999999" customHeight="1" x14ac:dyDescent="0.3">
      <c r="A187" s="83" t="str">
        <f>IF(TRIM(H187)&lt;&gt;"",COUNTA(H$9:$H187)&amp;"","")</f>
        <v>120</v>
      </c>
      <c r="B187" s="84" t="s">
        <v>263</v>
      </c>
      <c r="C187" s="84"/>
      <c r="D187" s="85"/>
      <c r="E187" s="152" t="s">
        <v>290</v>
      </c>
      <c r="F187" s="87">
        <v>1</v>
      </c>
      <c r="H187" s="88" t="s">
        <v>181</v>
      </c>
      <c r="I187" s="89">
        <f t="shared" si="223"/>
        <v>0</v>
      </c>
      <c r="J187" s="90">
        <f t="shared" si="224"/>
        <v>1</v>
      </c>
      <c r="K187" s="91">
        <v>8.8000000000000007</v>
      </c>
      <c r="L187" s="92">
        <f t="shared" si="226"/>
        <v>8.8000000000000007</v>
      </c>
      <c r="M187" s="93">
        <f t="shared" si="227"/>
        <v>48.95</v>
      </c>
      <c r="N187" s="94">
        <v>6.1111111111111116E-2</v>
      </c>
      <c r="O187" s="94">
        <f t="shared" si="229"/>
        <v>6.1111111111111116E-2</v>
      </c>
      <c r="P187" s="92">
        <f t="shared" si="230"/>
        <v>2.9913888888888893</v>
      </c>
      <c r="Q187" s="95">
        <f t="shared" si="231"/>
        <v>11.791388888888889</v>
      </c>
      <c r="R187" s="116"/>
    </row>
    <row r="188" spans="1:18" ht="18.899999999999999" customHeight="1" x14ac:dyDescent="0.3">
      <c r="A188" s="83" t="str">
        <f>IF(TRIM(H188)&lt;&gt;"",COUNTA(H$9:$H188)&amp;"","")</f>
        <v>121</v>
      </c>
      <c r="B188" s="84" t="s">
        <v>263</v>
      </c>
      <c r="C188" s="84"/>
      <c r="D188" s="85"/>
      <c r="E188" s="152" t="s">
        <v>291</v>
      </c>
      <c r="F188" s="87">
        <v>2</v>
      </c>
      <c r="H188" s="88" t="s">
        <v>181</v>
      </c>
      <c r="I188" s="89">
        <f t="shared" si="223"/>
        <v>0</v>
      </c>
      <c r="J188" s="90">
        <f t="shared" si="224"/>
        <v>2</v>
      </c>
      <c r="K188" s="91">
        <v>8.6</v>
      </c>
      <c r="L188" s="92">
        <f t="shared" si="226"/>
        <v>17.2</v>
      </c>
      <c r="M188" s="93">
        <f t="shared" si="227"/>
        <v>48.95</v>
      </c>
      <c r="N188" s="94">
        <v>5.9722222222222218E-2</v>
      </c>
      <c r="O188" s="94">
        <f t="shared" si="229"/>
        <v>0.11944444444444444</v>
      </c>
      <c r="P188" s="92">
        <f t="shared" si="230"/>
        <v>5.8468055555555551</v>
      </c>
      <c r="Q188" s="95">
        <f t="shared" si="231"/>
        <v>23.046805555555554</v>
      </c>
      <c r="R188" s="116"/>
    </row>
    <row r="189" spans="1:18" ht="18.899999999999999" customHeight="1" x14ac:dyDescent="0.3">
      <c r="A189" s="83" t="str">
        <f>IF(TRIM(H189)&lt;&gt;"",COUNTA(H$9:$H189)&amp;"","")</f>
        <v>122</v>
      </c>
      <c r="B189" s="84" t="s">
        <v>263</v>
      </c>
      <c r="C189" s="84"/>
      <c r="D189" s="85"/>
      <c r="E189" s="152" t="s">
        <v>292</v>
      </c>
      <c r="F189" s="87">
        <v>1</v>
      </c>
      <c r="H189" s="88" t="s">
        <v>181</v>
      </c>
      <c r="I189" s="89">
        <f t="shared" si="223"/>
        <v>0</v>
      </c>
      <c r="J189" s="90">
        <f t="shared" si="224"/>
        <v>1</v>
      </c>
      <c r="K189" s="91">
        <v>9.4</v>
      </c>
      <c r="L189" s="92">
        <f t="shared" si="226"/>
        <v>9.4</v>
      </c>
      <c r="M189" s="93">
        <f t="shared" si="227"/>
        <v>48.95</v>
      </c>
      <c r="N189" s="94">
        <v>6.5277777777777782E-2</v>
      </c>
      <c r="O189" s="94">
        <f t="shared" si="229"/>
        <v>6.5277777777777782E-2</v>
      </c>
      <c r="P189" s="92">
        <f t="shared" si="230"/>
        <v>3.1953472222222228</v>
      </c>
      <c r="Q189" s="95">
        <f t="shared" si="231"/>
        <v>12.595347222222223</v>
      </c>
      <c r="R189" s="116"/>
    </row>
    <row r="190" spans="1:18" ht="18.899999999999999" customHeight="1" x14ac:dyDescent="0.3">
      <c r="A190" s="83" t="str">
        <f>IF(TRIM(H190)&lt;&gt;"",COUNTA(H$9:$H190)&amp;"","")</f>
        <v>123</v>
      </c>
      <c r="B190" s="84" t="s">
        <v>263</v>
      </c>
      <c r="C190" s="151" t="s">
        <v>293</v>
      </c>
      <c r="D190" s="85"/>
      <c r="E190" s="152" t="s">
        <v>404</v>
      </c>
      <c r="F190" s="87">
        <v>3</v>
      </c>
      <c r="H190" s="88" t="s">
        <v>181</v>
      </c>
      <c r="I190" s="89">
        <f t="shared" si="223"/>
        <v>0</v>
      </c>
      <c r="J190" s="90">
        <f t="shared" si="224"/>
        <v>3</v>
      </c>
      <c r="K190" s="91">
        <v>48</v>
      </c>
      <c r="L190" s="92">
        <f t="shared" si="226"/>
        <v>144</v>
      </c>
      <c r="M190" s="93">
        <f t="shared" si="227"/>
        <v>48.95</v>
      </c>
      <c r="N190" s="94">
        <v>0.33333333333333331</v>
      </c>
      <c r="O190" s="94">
        <f t="shared" si="229"/>
        <v>1</v>
      </c>
      <c r="P190" s="92">
        <f t="shared" si="230"/>
        <v>48.95</v>
      </c>
      <c r="Q190" s="95">
        <f t="shared" si="231"/>
        <v>192.95</v>
      </c>
      <c r="R190" s="116"/>
    </row>
    <row r="191" spans="1:18" ht="18.899999999999999" customHeight="1" x14ac:dyDescent="0.3">
      <c r="A191" s="83" t="str">
        <f>IF(TRIM(H191)&lt;&gt;"",COUNTA(H$9:$H191)&amp;"","")</f>
        <v>124</v>
      </c>
      <c r="B191" s="84" t="s">
        <v>263</v>
      </c>
      <c r="C191" s="151" t="s">
        <v>293</v>
      </c>
      <c r="D191" s="85"/>
      <c r="E191" s="152" t="s">
        <v>294</v>
      </c>
      <c r="F191" s="87">
        <v>1</v>
      </c>
      <c r="H191" s="88" t="s">
        <v>181</v>
      </c>
      <c r="I191" s="89">
        <f t="shared" si="223"/>
        <v>0</v>
      </c>
      <c r="J191" s="90">
        <f t="shared" si="224"/>
        <v>1</v>
      </c>
      <c r="K191" s="91">
        <v>60</v>
      </c>
      <c r="L191" s="92">
        <f t="shared" si="226"/>
        <v>60</v>
      </c>
      <c r="M191" s="93">
        <f t="shared" si="227"/>
        <v>48.95</v>
      </c>
      <c r="N191" s="94">
        <v>0.41666666666666669</v>
      </c>
      <c r="O191" s="94">
        <f t="shared" si="229"/>
        <v>0.41666666666666669</v>
      </c>
      <c r="P191" s="92">
        <f t="shared" si="230"/>
        <v>20.395833333333336</v>
      </c>
      <c r="Q191" s="95">
        <f t="shared" si="231"/>
        <v>80.395833333333343</v>
      </c>
      <c r="R191" s="116"/>
    </row>
    <row r="192" spans="1:18" ht="18.899999999999999" customHeight="1" x14ac:dyDescent="0.3">
      <c r="A192" s="83" t="str">
        <f>IF(TRIM(H192)&lt;&gt;"",COUNTA(H$9:$H192)&amp;"","")</f>
        <v/>
      </c>
      <c r="B192" s="84"/>
      <c r="C192" s="84"/>
      <c r="D192" s="85"/>
      <c r="E192" s="97"/>
      <c r="F192" s="87"/>
      <c r="H192" s="88"/>
      <c r="I192" s="89" t="str">
        <f t="shared" si="223"/>
        <v/>
      </c>
      <c r="J192" s="90" t="str">
        <f t="shared" si="224"/>
        <v/>
      </c>
      <c r="K192" s="91" t="s">
        <v>407</v>
      </c>
      <c r="L192" s="92" t="str">
        <f t="shared" si="226"/>
        <v/>
      </c>
      <c r="M192" s="93" t="str">
        <f t="shared" si="227"/>
        <v/>
      </c>
      <c r="N192" s="94" t="s">
        <v>407</v>
      </c>
      <c r="O192" s="94" t="str">
        <f t="shared" si="229"/>
        <v/>
      </c>
      <c r="P192" s="92" t="str">
        <f t="shared" si="230"/>
        <v/>
      </c>
      <c r="Q192" s="95" t="str">
        <f t="shared" si="231"/>
        <v/>
      </c>
      <c r="R192" s="116"/>
    </row>
    <row r="193" spans="1:18" ht="27.6" x14ac:dyDescent="0.3">
      <c r="A193" s="83" t="str">
        <f>IF(TRIM(H193)&lt;&gt;"",COUNTA(H$9:$H193)&amp;"","")</f>
        <v/>
      </c>
      <c r="B193" s="84"/>
      <c r="C193" s="84"/>
      <c r="D193" s="85"/>
      <c r="E193" s="121" t="s">
        <v>295</v>
      </c>
      <c r="F193" s="87"/>
      <c r="H193" s="88"/>
      <c r="I193" s="89" t="str">
        <f t="shared" si="223"/>
        <v/>
      </c>
      <c r="J193" s="90" t="str">
        <f t="shared" si="224"/>
        <v/>
      </c>
      <c r="K193" s="91" t="s">
        <v>407</v>
      </c>
      <c r="L193" s="92" t="str">
        <f t="shared" si="226"/>
        <v/>
      </c>
      <c r="M193" s="93" t="str">
        <f t="shared" si="227"/>
        <v/>
      </c>
      <c r="N193" s="94" t="s">
        <v>407</v>
      </c>
      <c r="O193" s="94" t="str">
        <f t="shared" si="229"/>
        <v/>
      </c>
      <c r="P193" s="92" t="str">
        <f t="shared" si="230"/>
        <v/>
      </c>
      <c r="Q193" s="95" t="str">
        <f t="shared" si="231"/>
        <v/>
      </c>
      <c r="R193" s="116"/>
    </row>
    <row r="194" spans="1:18" ht="18.899999999999999" customHeight="1" x14ac:dyDescent="0.3">
      <c r="A194" s="83" t="str">
        <f>IF(TRIM(H194)&lt;&gt;"",COUNTA(H$9:$H194)&amp;"","")</f>
        <v>125</v>
      </c>
      <c r="B194" s="84" t="s">
        <v>263</v>
      </c>
      <c r="C194" s="84"/>
      <c r="D194" s="85"/>
      <c r="E194" s="152" t="s">
        <v>296</v>
      </c>
      <c r="F194" s="87">
        <v>28.84</v>
      </c>
      <c r="H194" s="88" t="s">
        <v>159</v>
      </c>
      <c r="I194" s="89">
        <v>0.05</v>
      </c>
      <c r="J194" s="90">
        <f t="shared" si="224"/>
        <v>30.282</v>
      </c>
      <c r="K194" s="91">
        <v>9</v>
      </c>
      <c r="L194" s="92">
        <f t="shared" si="226"/>
        <v>272.53800000000001</v>
      </c>
      <c r="M194" s="93">
        <f t="shared" si="227"/>
        <v>48.95</v>
      </c>
      <c r="N194" s="94">
        <v>0.16666666666666666</v>
      </c>
      <c r="O194" s="94">
        <f t="shared" si="229"/>
        <v>5.0469999999999997</v>
      </c>
      <c r="P194" s="92">
        <f t="shared" si="230"/>
        <v>247.05064999999999</v>
      </c>
      <c r="Q194" s="95">
        <f t="shared" si="231"/>
        <v>519.58865000000003</v>
      </c>
      <c r="R194" s="116"/>
    </row>
    <row r="195" spans="1:18" ht="18.899999999999999" customHeight="1" x14ac:dyDescent="0.3">
      <c r="A195" s="83" t="str">
        <f>IF(TRIM(H195)&lt;&gt;"",COUNTA(H$9:$H195)&amp;"","")</f>
        <v>126</v>
      </c>
      <c r="B195" s="84" t="s">
        <v>263</v>
      </c>
      <c r="C195" s="84"/>
      <c r="D195" s="85"/>
      <c r="E195" s="153" t="s">
        <v>297</v>
      </c>
      <c r="F195" s="87">
        <v>13.81</v>
      </c>
      <c r="H195" s="88" t="s">
        <v>159</v>
      </c>
      <c r="I195" s="89">
        <v>0.05</v>
      </c>
      <c r="J195" s="90">
        <f t="shared" si="224"/>
        <v>14.500500000000001</v>
      </c>
      <c r="K195" s="91">
        <v>13.2</v>
      </c>
      <c r="L195" s="92">
        <f t="shared" si="226"/>
        <v>191.4066</v>
      </c>
      <c r="M195" s="93">
        <f t="shared" si="227"/>
        <v>48.95</v>
      </c>
      <c r="N195" s="94">
        <v>0.24444444444444446</v>
      </c>
      <c r="O195" s="94">
        <f t="shared" si="229"/>
        <v>3.5445666666666673</v>
      </c>
      <c r="P195" s="92">
        <f t="shared" si="230"/>
        <v>173.50653833333337</v>
      </c>
      <c r="Q195" s="95">
        <f t="shared" si="231"/>
        <v>364.91313833333334</v>
      </c>
      <c r="R195" s="116"/>
    </row>
    <row r="196" spans="1:18" ht="18.899999999999999" customHeight="1" x14ac:dyDescent="0.3">
      <c r="A196" s="83" t="str">
        <f>IF(TRIM(H196)&lt;&gt;"",COUNTA(H$9:$H196)&amp;"","")</f>
        <v>127</v>
      </c>
      <c r="B196" s="84" t="s">
        <v>263</v>
      </c>
      <c r="C196" s="84"/>
      <c r="D196" s="85"/>
      <c r="E196" s="153" t="s">
        <v>298</v>
      </c>
      <c r="F196" s="87">
        <v>28.11</v>
      </c>
      <c r="H196" s="88" t="s">
        <v>159</v>
      </c>
      <c r="I196" s="89">
        <v>0.05</v>
      </c>
      <c r="J196" s="90">
        <f t="shared" si="224"/>
        <v>29.515499999999999</v>
      </c>
      <c r="K196" s="91">
        <v>9</v>
      </c>
      <c r="L196" s="92">
        <f t="shared" si="226"/>
        <v>265.6395</v>
      </c>
      <c r="M196" s="93">
        <f t="shared" si="227"/>
        <v>48.95</v>
      </c>
      <c r="N196" s="94">
        <v>0.16666666666666666</v>
      </c>
      <c r="O196" s="94">
        <f t="shared" si="229"/>
        <v>4.9192499999999999</v>
      </c>
      <c r="P196" s="92">
        <f t="shared" si="230"/>
        <v>240.79728750000001</v>
      </c>
      <c r="Q196" s="95">
        <f t="shared" si="231"/>
        <v>506.43678750000004</v>
      </c>
      <c r="R196" s="116"/>
    </row>
    <row r="197" spans="1:18" ht="18.899999999999999" customHeight="1" x14ac:dyDescent="0.3">
      <c r="A197" s="83" t="str">
        <f>IF(TRIM(H197)&lt;&gt;"",COUNTA(H$9:$H197)&amp;"","")</f>
        <v>128</v>
      </c>
      <c r="B197" s="84" t="s">
        <v>263</v>
      </c>
      <c r="C197" s="84"/>
      <c r="D197" s="85"/>
      <c r="E197" s="97" t="s">
        <v>299</v>
      </c>
      <c r="F197" s="87">
        <v>18</v>
      </c>
      <c r="H197" s="88" t="s">
        <v>181</v>
      </c>
      <c r="I197" s="89">
        <f t="shared" si="223"/>
        <v>0</v>
      </c>
      <c r="J197" s="90">
        <f t="shared" si="224"/>
        <v>18</v>
      </c>
      <c r="K197" s="91">
        <v>6.8</v>
      </c>
      <c r="L197" s="92">
        <f t="shared" si="226"/>
        <v>122.39999999999999</v>
      </c>
      <c r="M197" s="93">
        <f t="shared" si="227"/>
        <v>48.95</v>
      </c>
      <c r="N197" s="94">
        <v>4.7222222222222228E-2</v>
      </c>
      <c r="O197" s="94">
        <f t="shared" si="229"/>
        <v>0.85000000000000009</v>
      </c>
      <c r="P197" s="92">
        <f t="shared" si="230"/>
        <v>41.607500000000009</v>
      </c>
      <c r="Q197" s="95">
        <f t="shared" si="231"/>
        <v>164.00749999999999</v>
      </c>
      <c r="R197" s="116"/>
    </row>
    <row r="198" spans="1:18" ht="18.899999999999999" customHeight="1" x14ac:dyDescent="0.3">
      <c r="A198" s="83" t="str">
        <f>IF(TRIM(H198)&lt;&gt;"",COUNTA(H$9:$H198)&amp;"","")</f>
        <v>129</v>
      </c>
      <c r="B198" s="84" t="s">
        <v>263</v>
      </c>
      <c r="C198" s="84"/>
      <c r="D198" s="85"/>
      <c r="E198" s="97" t="s">
        <v>300</v>
      </c>
      <c r="F198" s="87">
        <v>4</v>
      </c>
      <c r="H198" s="88" t="s">
        <v>181</v>
      </c>
      <c r="I198" s="89">
        <f t="shared" si="223"/>
        <v>0</v>
      </c>
      <c r="J198" s="90">
        <f t="shared" si="224"/>
        <v>4</v>
      </c>
      <c r="K198" s="91">
        <v>7.6</v>
      </c>
      <c r="L198" s="92">
        <f t="shared" si="226"/>
        <v>30.4</v>
      </c>
      <c r="M198" s="93">
        <f t="shared" si="227"/>
        <v>48.95</v>
      </c>
      <c r="N198" s="94">
        <v>5.2777777777777785E-2</v>
      </c>
      <c r="O198" s="94">
        <f t="shared" si="229"/>
        <v>0.21111111111111114</v>
      </c>
      <c r="P198" s="92">
        <f t="shared" si="230"/>
        <v>10.333888888888891</v>
      </c>
      <c r="Q198" s="95">
        <f t="shared" si="231"/>
        <v>40.733888888888892</v>
      </c>
      <c r="R198" s="116"/>
    </row>
    <row r="199" spans="1:18" ht="18.899999999999999" customHeight="1" x14ac:dyDescent="0.3">
      <c r="A199" s="83" t="str">
        <f>IF(TRIM(H199)&lt;&gt;"",COUNTA(H$9:$H199)&amp;"","")</f>
        <v>130</v>
      </c>
      <c r="B199" s="84" t="s">
        <v>263</v>
      </c>
      <c r="C199" s="84"/>
      <c r="D199" s="85"/>
      <c r="E199" s="86" t="s">
        <v>301</v>
      </c>
      <c r="F199" s="87">
        <v>2</v>
      </c>
      <c r="H199" s="88" t="s">
        <v>181</v>
      </c>
      <c r="I199" s="89">
        <f t="shared" si="223"/>
        <v>0</v>
      </c>
      <c r="J199" s="90">
        <f t="shared" si="224"/>
        <v>2</v>
      </c>
      <c r="K199" s="91">
        <v>7.6</v>
      </c>
      <c r="L199" s="92">
        <f t="shared" si="226"/>
        <v>15.2</v>
      </c>
      <c r="M199" s="93">
        <f t="shared" si="227"/>
        <v>48.95</v>
      </c>
      <c r="N199" s="94">
        <v>5.2777777777777785E-2</v>
      </c>
      <c r="O199" s="94">
        <f t="shared" si="229"/>
        <v>0.10555555555555557</v>
      </c>
      <c r="P199" s="92">
        <f t="shared" si="230"/>
        <v>5.1669444444444457</v>
      </c>
      <c r="Q199" s="95">
        <f t="shared" si="231"/>
        <v>20.366944444444446</v>
      </c>
      <c r="R199" s="116"/>
    </row>
    <row r="200" spans="1:18" ht="18.899999999999999" customHeight="1" x14ac:dyDescent="0.3">
      <c r="A200" s="83" t="str">
        <f>IF(TRIM(H200)&lt;&gt;"",COUNTA(H$9:$H200)&amp;"","")</f>
        <v>131</v>
      </c>
      <c r="B200" s="84" t="s">
        <v>263</v>
      </c>
      <c r="C200" s="84"/>
      <c r="D200" s="85"/>
      <c r="E200" s="86" t="s">
        <v>302</v>
      </c>
      <c r="F200" s="87">
        <v>3</v>
      </c>
      <c r="H200" s="88" t="s">
        <v>181</v>
      </c>
      <c r="I200" s="89">
        <f t="shared" si="223"/>
        <v>0</v>
      </c>
      <c r="J200" s="90">
        <f t="shared" si="224"/>
        <v>3</v>
      </c>
      <c r="K200" s="91">
        <v>7</v>
      </c>
      <c r="L200" s="92">
        <f t="shared" si="226"/>
        <v>21</v>
      </c>
      <c r="M200" s="93">
        <f t="shared" si="227"/>
        <v>48.95</v>
      </c>
      <c r="N200" s="94">
        <v>4.8611111111111112E-2</v>
      </c>
      <c r="O200" s="94">
        <f t="shared" si="229"/>
        <v>0.14583333333333334</v>
      </c>
      <c r="P200" s="92">
        <f t="shared" si="230"/>
        <v>7.1385416666666677</v>
      </c>
      <c r="Q200" s="95">
        <f t="shared" si="231"/>
        <v>28.138541666666669</v>
      </c>
      <c r="R200" s="116"/>
    </row>
    <row r="201" spans="1:18" ht="18.899999999999999" customHeight="1" x14ac:dyDescent="0.3">
      <c r="A201" s="83" t="str">
        <f>IF(TRIM(H201)&lt;&gt;"",COUNTA(H$9:$H201)&amp;"","")</f>
        <v>132</v>
      </c>
      <c r="B201" s="84" t="s">
        <v>263</v>
      </c>
      <c r="C201" s="84"/>
      <c r="D201" s="85"/>
      <c r="E201" s="86" t="s">
        <v>303</v>
      </c>
      <c r="F201" s="87">
        <v>3</v>
      </c>
      <c r="H201" s="88" t="s">
        <v>181</v>
      </c>
      <c r="I201" s="89">
        <f t="shared" si="223"/>
        <v>0</v>
      </c>
      <c r="J201" s="90">
        <f t="shared" si="224"/>
        <v>3</v>
      </c>
      <c r="K201" s="91">
        <v>7.2</v>
      </c>
      <c r="L201" s="92">
        <f t="shared" si="226"/>
        <v>21.6</v>
      </c>
      <c r="M201" s="93">
        <f t="shared" si="227"/>
        <v>48.95</v>
      </c>
      <c r="N201" s="94">
        <v>0.05</v>
      </c>
      <c r="O201" s="94">
        <f t="shared" si="229"/>
        <v>0.15000000000000002</v>
      </c>
      <c r="P201" s="92">
        <f t="shared" si="230"/>
        <v>7.3425000000000011</v>
      </c>
      <c r="Q201" s="95">
        <f t="shared" si="231"/>
        <v>28.942500000000003</v>
      </c>
      <c r="R201" s="116"/>
    </row>
    <row r="202" spans="1:18" ht="18.899999999999999" customHeight="1" x14ac:dyDescent="0.3">
      <c r="A202" s="83" t="str">
        <f>IF(TRIM(H202)&lt;&gt;"",COUNTA(H$9:$H202)&amp;"","")</f>
        <v>133</v>
      </c>
      <c r="B202" s="84" t="s">
        <v>263</v>
      </c>
      <c r="C202" s="84"/>
      <c r="D202" s="85"/>
      <c r="E202" s="152" t="s">
        <v>304</v>
      </c>
      <c r="F202" s="87">
        <v>1</v>
      </c>
      <c r="H202" s="88" t="s">
        <v>181</v>
      </c>
      <c r="I202" s="89">
        <f t="shared" si="223"/>
        <v>0</v>
      </c>
      <c r="J202" s="90">
        <f t="shared" si="224"/>
        <v>1</v>
      </c>
      <c r="K202" s="91">
        <v>7.2</v>
      </c>
      <c r="L202" s="92">
        <f t="shared" si="226"/>
        <v>7.2</v>
      </c>
      <c r="M202" s="93">
        <f t="shared" si="227"/>
        <v>48.95</v>
      </c>
      <c r="N202" s="94">
        <v>0.05</v>
      </c>
      <c r="O202" s="94">
        <f t="shared" si="229"/>
        <v>0.05</v>
      </c>
      <c r="P202" s="92">
        <f t="shared" si="230"/>
        <v>2.4475000000000002</v>
      </c>
      <c r="Q202" s="95">
        <f t="shared" si="231"/>
        <v>9.6475000000000009</v>
      </c>
      <c r="R202" s="116"/>
    </row>
    <row r="203" spans="1:18" ht="18.899999999999999" customHeight="1" x14ac:dyDescent="0.3">
      <c r="A203" s="83" t="str">
        <f>IF(TRIM(H203)&lt;&gt;"",COUNTA(H$9:$H203)&amp;"","")</f>
        <v>134</v>
      </c>
      <c r="B203" s="84" t="s">
        <v>263</v>
      </c>
      <c r="C203" s="84"/>
      <c r="D203" s="85"/>
      <c r="E203" s="152" t="s">
        <v>305</v>
      </c>
      <c r="F203" s="87">
        <v>1</v>
      </c>
      <c r="H203" s="88" t="s">
        <v>181</v>
      </c>
      <c r="I203" s="89">
        <f t="shared" si="223"/>
        <v>0</v>
      </c>
      <c r="J203" s="90">
        <f t="shared" si="224"/>
        <v>1</v>
      </c>
      <c r="K203" s="91">
        <v>7</v>
      </c>
      <c r="L203" s="92">
        <f t="shared" si="226"/>
        <v>7</v>
      </c>
      <c r="M203" s="93">
        <f t="shared" si="227"/>
        <v>48.95</v>
      </c>
      <c r="N203" s="94">
        <v>4.8611111111111112E-2</v>
      </c>
      <c r="O203" s="94">
        <f t="shared" si="229"/>
        <v>4.8611111111111112E-2</v>
      </c>
      <c r="P203" s="92">
        <f t="shared" si="230"/>
        <v>2.3795138888888889</v>
      </c>
      <c r="Q203" s="95">
        <f t="shared" si="231"/>
        <v>9.3795138888888889</v>
      </c>
      <c r="R203" s="116"/>
    </row>
    <row r="204" spans="1:18" ht="18.899999999999999" customHeight="1" x14ac:dyDescent="0.3">
      <c r="A204" s="83" t="str">
        <f>IF(TRIM(H204)&lt;&gt;"",COUNTA(H$9:$H204)&amp;"","")</f>
        <v>135</v>
      </c>
      <c r="B204" s="84" t="s">
        <v>263</v>
      </c>
      <c r="C204" s="151" t="s">
        <v>293</v>
      </c>
      <c r="D204" s="85"/>
      <c r="E204" s="152" t="s">
        <v>306</v>
      </c>
      <c r="F204" s="87">
        <v>9</v>
      </c>
      <c r="H204" s="88" t="s">
        <v>181</v>
      </c>
      <c r="I204" s="89">
        <f t="shared" si="223"/>
        <v>0</v>
      </c>
      <c r="J204" s="90">
        <f t="shared" si="224"/>
        <v>9</v>
      </c>
      <c r="K204" s="91">
        <v>62.4</v>
      </c>
      <c r="L204" s="92">
        <f t="shared" si="226"/>
        <v>561.6</v>
      </c>
      <c r="M204" s="93">
        <f t="shared" si="227"/>
        <v>48.95</v>
      </c>
      <c r="N204" s="94">
        <v>0.43333333333333335</v>
      </c>
      <c r="O204" s="94">
        <f t="shared" si="229"/>
        <v>3.9000000000000004</v>
      </c>
      <c r="P204" s="92">
        <f t="shared" si="230"/>
        <v>190.90500000000003</v>
      </c>
      <c r="Q204" s="95">
        <f t="shared" si="231"/>
        <v>752.50500000000011</v>
      </c>
      <c r="R204" s="116"/>
    </row>
    <row r="205" spans="1:18" ht="18.899999999999999" customHeight="1" x14ac:dyDescent="0.3">
      <c r="A205" s="83" t="str">
        <f>IF(TRIM(H205)&lt;&gt;"",COUNTA(H$9:$H205)&amp;"","")</f>
        <v>136</v>
      </c>
      <c r="B205" s="84" t="s">
        <v>263</v>
      </c>
      <c r="C205" s="151" t="s">
        <v>293</v>
      </c>
      <c r="D205" s="85"/>
      <c r="E205" s="152" t="s">
        <v>307</v>
      </c>
      <c r="F205" s="87">
        <v>1</v>
      </c>
      <c r="H205" s="88" t="s">
        <v>181</v>
      </c>
      <c r="I205" s="89">
        <f t="shared" si="223"/>
        <v>0</v>
      </c>
      <c r="J205" s="90">
        <f t="shared" si="224"/>
        <v>1</v>
      </c>
      <c r="K205" s="91">
        <v>80</v>
      </c>
      <c r="L205" s="92">
        <f t="shared" si="226"/>
        <v>80</v>
      </c>
      <c r="M205" s="93">
        <f t="shared" si="227"/>
        <v>48.95</v>
      </c>
      <c r="N205" s="94">
        <v>0.55555555555555558</v>
      </c>
      <c r="O205" s="94">
        <f t="shared" si="229"/>
        <v>0.55555555555555558</v>
      </c>
      <c r="P205" s="92">
        <f t="shared" si="230"/>
        <v>27.194444444444446</v>
      </c>
      <c r="Q205" s="95">
        <f t="shared" si="231"/>
        <v>107.19444444444444</v>
      </c>
      <c r="R205" s="116"/>
    </row>
    <row r="206" spans="1:18" ht="18.899999999999999" customHeight="1" x14ac:dyDescent="0.3">
      <c r="A206" s="83" t="str">
        <f>IF(TRIM(H206)&lt;&gt;"",COUNTA(H$9:$H206)&amp;"","")</f>
        <v/>
      </c>
      <c r="B206" s="84"/>
      <c r="C206" s="84"/>
      <c r="D206" s="85"/>
      <c r="E206" s="97"/>
      <c r="F206" s="87"/>
      <c r="H206" s="88"/>
      <c r="I206" s="89" t="str">
        <f t="shared" si="223"/>
        <v/>
      </c>
      <c r="J206" s="90" t="str">
        <f t="shared" si="224"/>
        <v/>
      </c>
      <c r="K206" s="91" t="s">
        <v>407</v>
      </c>
      <c r="L206" s="92" t="str">
        <f t="shared" si="226"/>
        <v/>
      </c>
      <c r="M206" s="93" t="str">
        <f t="shared" si="227"/>
        <v/>
      </c>
      <c r="N206" s="94" t="s">
        <v>407</v>
      </c>
      <c r="O206" s="94" t="str">
        <f t="shared" si="229"/>
        <v/>
      </c>
      <c r="P206" s="92" t="str">
        <f t="shared" si="230"/>
        <v/>
      </c>
      <c r="Q206" s="95" t="str">
        <f t="shared" si="231"/>
        <v/>
      </c>
      <c r="R206" s="116"/>
    </row>
    <row r="207" spans="1:18" ht="15.6" x14ac:dyDescent="0.3">
      <c r="A207" s="83" t="str">
        <f>IF(TRIM(H207)&lt;&gt;"",COUNTA(H$9:$H207)&amp;"","")</f>
        <v/>
      </c>
      <c r="B207" s="84"/>
      <c r="C207" s="84"/>
      <c r="D207" s="85"/>
      <c r="E207" s="160" t="s">
        <v>308</v>
      </c>
      <c r="F207" s="87"/>
      <c r="H207" s="88"/>
      <c r="I207" s="89" t="str">
        <f t="shared" si="223"/>
        <v/>
      </c>
      <c r="J207" s="90" t="str">
        <f t="shared" si="224"/>
        <v/>
      </c>
      <c r="K207" s="91" t="s">
        <v>407</v>
      </c>
      <c r="L207" s="92" t="str">
        <f t="shared" si="226"/>
        <v/>
      </c>
      <c r="M207" s="93" t="str">
        <f t="shared" si="227"/>
        <v/>
      </c>
      <c r="N207" s="94" t="s">
        <v>407</v>
      </c>
      <c r="O207" s="94" t="str">
        <f t="shared" si="229"/>
        <v/>
      </c>
      <c r="P207" s="92" t="str">
        <f t="shared" si="230"/>
        <v/>
      </c>
      <c r="Q207" s="95" t="str">
        <f t="shared" si="231"/>
        <v/>
      </c>
      <c r="R207" s="116"/>
    </row>
    <row r="208" spans="1:18" ht="18.899999999999999" customHeight="1" x14ac:dyDescent="0.3">
      <c r="A208" s="83" t="str">
        <f>IF(TRIM(H208)&lt;&gt;"",COUNTA(H$9:$H208)&amp;"","")</f>
        <v>137</v>
      </c>
      <c r="B208" s="84" t="s">
        <v>263</v>
      </c>
      <c r="C208" s="84"/>
      <c r="D208" s="85"/>
      <c r="E208" s="153" t="s">
        <v>309</v>
      </c>
      <c r="F208" s="87">
        <v>1</v>
      </c>
      <c r="H208" s="88" t="s">
        <v>181</v>
      </c>
      <c r="I208" s="89">
        <f t="shared" si="223"/>
        <v>0</v>
      </c>
      <c r="J208" s="90">
        <f t="shared" si="224"/>
        <v>1</v>
      </c>
      <c r="K208" s="91">
        <v>0</v>
      </c>
      <c r="L208" s="92">
        <f t="shared" si="226"/>
        <v>0</v>
      </c>
      <c r="M208" s="93">
        <f t="shared" si="227"/>
        <v>48.95</v>
      </c>
      <c r="N208" s="94">
        <v>1.5277777777777777</v>
      </c>
      <c r="O208" s="94">
        <f t="shared" si="229"/>
        <v>1.5277777777777777</v>
      </c>
      <c r="P208" s="92">
        <f t="shared" si="230"/>
        <v>74.784722222222229</v>
      </c>
      <c r="Q208" s="95">
        <f t="shared" si="231"/>
        <v>74.784722222222229</v>
      </c>
      <c r="R208" s="116"/>
    </row>
    <row r="209" spans="1:23" x14ac:dyDescent="0.3">
      <c r="A209" s="83" t="str">
        <f>IF(TRIM(H209)&lt;&gt;"",COUNTA(H$9:$H209)&amp;"","")</f>
        <v>138</v>
      </c>
      <c r="B209" s="84" t="s">
        <v>263</v>
      </c>
      <c r="C209" s="84"/>
      <c r="D209" s="85"/>
      <c r="E209" s="97" t="s">
        <v>310</v>
      </c>
      <c r="F209" s="87">
        <v>3</v>
      </c>
      <c r="H209" s="88" t="s">
        <v>181</v>
      </c>
      <c r="I209" s="89">
        <f t="shared" si="223"/>
        <v>0</v>
      </c>
      <c r="J209" s="90">
        <f t="shared" si="224"/>
        <v>3</v>
      </c>
      <c r="K209" s="91">
        <v>0</v>
      </c>
      <c r="L209" s="92">
        <f t="shared" si="226"/>
        <v>0</v>
      </c>
      <c r="M209" s="93">
        <f t="shared" si="227"/>
        <v>48.95</v>
      </c>
      <c r="N209" s="94">
        <v>3.0555555555555554</v>
      </c>
      <c r="O209" s="94">
        <f t="shared" si="229"/>
        <v>9.1666666666666661</v>
      </c>
      <c r="P209" s="92">
        <f t="shared" si="230"/>
        <v>448.70833333333331</v>
      </c>
      <c r="Q209" s="95">
        <f t="shared" si="231"/>
        <v>448.70833333333331</v>
      </c>
      <c r="R209" s="116"/>
    </row>
    <row r="210" spans="1:23" x14ac:dyDescent="0.3">
      <c r="A210" s="83" t="str">
        <f>IF(TRIM(H210)&lt;&gt;"",COUNTA(H$9:$H210)&amp;"","")</f>
        <v/>
      </c>
      <c r="B210" s="84"/>
      <c r="C210" s="84"/>
      <c r="D210" s="85"/>
      <c r="E210" s="97"/>
      <c r="F210" s="87"/>
      <c r="H210" s="88"/>
      <c r="I210" s="89" t="str">
        <f t="shared" si="223"/>
        <v/>
      </c>
      <c r="J210" s="90" t="str">
        <f t="shared" si="224"/>
        <v/>
      </c>
      <c r="K210" s="91" t="s">
        <v>407</v>
      </c>
      <c r="L210" s="92" t="str">
        <f t="shared" si="226"/>
        <v/>
      </c>
      <c r="M210" s="93" t="str">
        <f t="shared" si="227"/>
        <v/>
      </c>
      <c r="N210" s="94" t="s">
        <v>407</v>
      </c>
      <c r="O210" s="94" t="str">
        <f t="shared" si="229"/>
        <v/>
      </c>
      <c r="P210" s="92" t="str">
        <f t="shared" si="230"/>
        <v/>
      </c>
      <c r="Q210" s="95" t="str">
        <f t="shared" si="231"/>
        <v/>
      </c>
      <c r="R210" s="116"/>
    </row>
    <row r="211" spans="1:23" ht="15.6" x14ac:dyDescent="0.3">
      <c r="A211" s="83" t="str">
        <f>IF(TRIM(H211)&lt;&gt;"",COUNTA(H$9:$H211)&amp;"","")</f>
        <v/>
      </c>
      <c r="B211" s="84"/>
      <c r="C211" s="84"/>
      <c r="D211" s="85"/>
      <c r="E211" s="160" t="s">
        <v>148</v>
      </c>
      <c r="F211" s="87"/>
      <c r="H211" s="88"/>
      <c r="I211" s="89"/>
      <c r="J211" s="90" t="str">
        <f t="shared" si="224"/>
        <v/>
      </c>
      <c r="K211" s="91" t="s">
        <v>407</v>
      </c>
      <c r="L211" s="92" t="str">
        <f t="shared" si="226"/>
        <v/>
      </c>
      <c r="M211" s="93" t="str">
        <f t="shared" si="227"/>
        <v/>
      </c>
      <c r="N211" s="94" t="s">
        <v>407</v>
      </c>
      <c r="O211" s="94" t="str">
        <f t="shared" si="229"/>
        <v/>
      </c>
      <c r="P211" s="92" t="str">
        <f t="shared" si="230"/>
        <v/>
      </c>
      <c r="Q211" s="95" t="str">
        <f t="shared" si="231"/>
        <v/>
      </c>
      <c r="R211" s="116"/>
    </row>
    <row r="212" spans="1:23" ht="18.899999999999999" customHeight="1" x14ac:dyDescent="0.3">
      <c r="A212" s="83" t="str">
        <f>IF(TRIM(H212)&lt;&gt;"",COUNTA(H$9:$H212)&amp;"","")</f>
        <v>139</v>
      </c>
      <c r="B212" s="84" t="s">
        <v>263</v>
      </c>
      <c r="C212" s="84"/>
      <c r="D212" s="85"/>
      <c r="E212" s="153" t="s">
        <v>311</v>
      </c>
      <c r="F212" s="87">
        <v>1</v>
      </c>
      <c r="H212" s="88" t="s">
        <v>181</v>
      </c>
      <c r="I212" s="89">
        <f t="shared" ref="I212:I219" si="232">IF(F212=0,"",0)</f>
        <v>0</v>
      </c>
      <c r="J212" s="90">
        <f t="shared" si="224"/>
        <v>1</v>
      </c>
      <c r="K212" s="91">
        <v>595.63</v>
      </c>
      <c r="L212" s="92">
        <f t="shared" si="226"/>
        <v>595.63</v>
      </c>
      <c r="M212" s="93">
        <f t="shared" si="227"/>
        <v>48.95</v>
      </c>
      <c r="N212" s="94">
        <v>2.9197549019607845</v>
      </c>
      <c r="O212" s="94">
        <f t="shared" si="229"/>
        <v>2.9197549019607845</v>
      </c>
      <c r="P212" s="92">
        <f t="shared" si="230"/>
        <v>142.92200245098041</v>
      </c>
      <c r="Q212" s="95">
        <f t="shared" si="231"/>
        <v>738.55200245098035</v>
      </c>
      <c r="R212" s="116"/>
    </row>
    <row r="213" spans="1:23" ht="18.899999999999999" customHeight="1" x14ac:dyDescent="0.3">
      <c r="A213" s="83" t="str">
        <f>IF(TRIM(H213)&lt;&gt;"",COUNTA(H$9:$H213)&amp;"","")</f>
        <v>140</v>
      </c>
      <c r="B213" s="84" t="s">
        <v>263</v>
      </c>
      <c r="C213" s="84"/>
      <c r="D213" s="85"/>
      <c r="E213" s="153" t="s">
        <v>312</v>
      </c>
      <c r="F213" s="87">
        <v>1</v>
      </c>
      <c r="H213" s="88" t="s">
        <v>181</v>
      </c>
      <c r="I213" s="89">
        <f t="shared" si="232"/>
        <v>0</v>
      </c>
      <c r="J213" s="90">
        <f t="shared" si="224"/>
        <v>1</v>
      </c>
      <c r="K213" s="91">
        <v>2437</v>
      </c>
      <c r="L213" s="92">
        <f t="shared" si="226"/>
        <v>2437</v>
      </c>
      <c r="M213" s="93">
        <f t="shared" si="227"/>
        <v>48.95</v>
      </c>
      <c r="N213" s="94">
        <v>11.946078431372548</v>
      </c>
      <c r="O213" s="94">
        <f t="shared" si="229"/>
        <v>11.946078431372548</v>
      </c>
      <c r="P213" s="92">
        <f t="shared" si="230"/>
        <v>584.76053921568632</v>
      </c>
      <c r="Q213" s="95">
        <f t="shared" si="231"/>
        <v>3021.7605392156865</v>
      </c>
      <c r="R213" s="116"/>
    </row>
    <row r="214" spans="1:23" ht="18.899999999999999" customHeight="1" x14ac:dyDescent="0.3">
      <c r="A214" s="83" t="str">
        <f>IF(TRIM(H214)&lt;&gt;"",COUNTA(H$9:$H214)&amp;"","")</f>
        <v>141</v>
      </c>
      <c r="B214" s="84" t="s">
        <v>263</v>
      </c>
      <c r="C214" s="84"/>
      <c r="D214" s="85"/>
      <c r="E214" s="153" t="s">
        <v>401</v>
      </c>
      <c r="F214" s="87">
        <v>2</v>
      </c>
      <c r="H214" s="88" t="s">
        <v>181</v>
      </c>
      <c r="I214" s="89">
        <f t="shared" si="232"/>
        <v>0</v>
      </c>
      <c r="J214" s="90">
        <f t="shared" si="224"/>
        <v>2</v>
      </c>
      <c r="K214" s="91">
        <v>430.3125</v>
      </c>
      <c r="L214" s="92">
        <f t="shared" si="226"/>
        <v>860.625</v>
      </c>
      <c r="M214" s="93">
        <f t="shared" si="227"/>
        <v>48.95</v>
      </c>
      <c r="N214" s="94">
        <v>2.109375</v>
      </c>
      <c r="O214" s="94">
        <f t="shared" si="229"/>
        <v>4.21875</v>
      </c>
      <c r="P214" s="92">
        <f t="shared" si="230"/>
        <v>206.5078125</v>
      </c>
      <c r="Q214" s="95">
        <f t="shared" si="231"/>
        <v>1067.1328125</v>
      </c>
      <c r="R214" s="116"/>
    </row>
    <row r="215" spans="1:23" ht="18.899999999999999" customHeight="1" x14ac:dyDescent="0.3">
      <c r="A215" s="83" t="str">
        <f>IF(TRIM(H215)&lt;&gt;"",COUNTA(H$9:$H215)&amp;"","")</f>
        <v>142</v>
      </c>
      <c r="B215" s="84" t="s">
        <v>263</v>
      </c>
      <c r="C215" s="84"/>
      <c r="D215" s="85"/>
      <c r="E215" s="153" t="s">
        <v>315</v>
      </c>
      <c r="F215" s="87">
        <v>1</v>
      </c>
      <c r="H215" s="88" t="s">
        <v>181</v>
      </c>
      <c r="I215" s="89">
        <f t="shared" si="232"/>
        <v>0</v>
      </c>
      <c r="J215" s="90">
        <f t="shared" si="224"/>
        <v>1</v>
      </c>
      <c r="K215" s="91">
        <v>302.8125</v>
      </c>
      <c r="L215" s="92">
        <f t="shared" si="226"/>
        <v>302.8125</v>
      </c>
      <c r="M215" s="93">
        <f t="shared" si="227"/>
        <v>48.95</v>
      </c>
      <c r="N215" s="94">
        <v>1.484375</v>
      </c>
      <c r="O215" s="94">
        <f t="shared" si="229"/>
        <v>1.484375</v>
      </c>
      <c r="P215" s="92">
        <f t="shared" si="230"/>
        <v>72.66015625</v>
      </c>
      <c r="Q215" s="95">
        <f t="shared" si="231"/>
        <v>375.47265625</v>
      </c>
      <c r="R215" s="116"/>
    </row>
    <row r="216" spans="1:23" ht="27.6" x14ac:dyDescent="0.3">
      <c r="A216" s="83" t="str">
        <f>IF(TRIM(H216)&lt;&gt;"",COUNTA(H$9:$H216)&amp;"","")</f>
        <v>143</v>
      </c>
      <c r="B216" s="84" t="s">
        <v>263</v>
      </c>
      <c r="C216" s="84"/>
      <c r="D216" s="85"/>
      <c r="E216" s="97" t="s">
        <v>415</v>
      </c>
      <c r="F216" s="87">
        <v>1</v>
      </c>
      <c r="H216" s="88" t="s">
        <v>181</v>
      </c>
      <c r="I216" s="89">
        <f t="shared" si="232"/>
        <v>0</v>
      </c>
      <c r="J216" s="90">
        <f t="shared" si="224"/>
        <v>1</v>
      </c>
      <c r="K216" s="91">
        <v>1000</v>
      </c>
      <c r="L216" s="92">
        <f t="shared" si="226"/>
        <v>1000</v>
      </c>
      <c r="M216" s="93">
        <f t="shared" si="227"/>
        <v>48.95</v>
      </c>
      <c r="N216" s="94">
        <v>6.9444444444444446</v>
      </c>
      <c r="O216" s="94">
        <f t="shared" si="229"/>
        <v>6.9444444444444446</v>
      </c>
      <c r="P216" s="92">
        <f t="shared" si="230"/>
        <v>339.9305555555556</v>
      </c>
      <c r="Q216" s="95">
        <f t="shared" si="231"/>
        <v>1339.9305555555557</v>
      </c>
      <c r="R216" s="116"/>
    </row>
    <row r="217" spans="1:23" x14ac:dyDescent="0.3">
      <c r="A217" s="83" t="str">
        <f>IF(TRIM(H217)&lt;&gt;"",COUNTA(H$9:$H217)&amp;"","")</f>
        <v/>
      </c>
      <c r="B217" s="98"/>
      <c r="C217" s="98"/>
      <c r="D217" s="85"/>
      <c r="E217" s="99"/>
      <c r="F217" s="87"/>
      <c r="H217" s="88"/>
      <c r="I217" s="89" t="str">
        <f t="shared" si="232"/>
        <v/>
      </c>
      <c r="J217" s="90" t="str">
        <f t="shared" si="224"/>
        <v/>
      </c>
      <c r="K217" s="91" t="str">
        <f t="shared" si="225"/>
        <v/>
      </c>
      <c r="L217" s="92" t="str">
        <f t="shared" si="226"/>
        <v/>
      </c>
      <c r="M217" s="93" t="str">
        <f t="shared" si="227"/>
        <v/>
      </c>
      <c r="N217" s="94" t="str">
        <f t="shared" si="228"/>
        <v/>
      </c>
      <c r="O217" s="94" t="str">
        <f t="shared" si="229"/>
        <v/>
      </c>
      <c r="P217" s="92" t="str">
        <f t="shared" si="230"/>
        <v/>
      </c>
      <c r="Q217" s="95" t="str">
        <f t="shared" si="231"/>
        <v/>
      </c>
      <c r="R217" s="116"/>
    </row>
    <row r="218" spans="1:23" ht="15.6" x14ac:dyDescent="0.3">
      <c r="A218" s="83" t="str">
        <f>IF(TRIM(H218)&lt;&gt;"",COUNTA(H$9:$H218)&amp;"","")</f>
        <v/>
      </c>
      <c r="B218" s="84"/>
      <c r="C218" s="84"/>
      <c r="D218" s="85"/>
      <c r="E218" s="161" t="s">
        <v>313</v>
      </c>
      <c r="F218" s="87"/>
      <c r="H218" s="88"/>
      <c r="I218" s="89" t="str">
        <f t="shared" si="232"/>
        <v/>
      </c>
      <c r="J218" s="90" t="str">
        <f t="shared" si="224"/>
        <v/>
      </c>
      <c r="K218" s="91" t="str">
        <f t="shared" si="225"/>
        <v/>
      </c>
      <c r="L218" s="92" t="str">
        <f t="shared" si="226"/>
        <v/>
      </c>
      <c r="M218" s="93" t="str">
        <f t="shared" si="227"/>
        <v/>
      </c>
      <c r="N218" s="94" t="str">
        <f t="shared" si="228"/>
        <v/>
      </c>
      <c r="O218" s="94" t="str">
        <f t="shared" si="229"/>
        <v/>
      </c>
      <c r="P218" s="92" t="str">
        <f t="shared" si="230"/>
        <v/>
      </c>
      <c r="Q218" s="95" t="str">
        <f t="shared" si="231"/>
        <v/>
      </c>
      <c r="R218" s="116"/>
    </row>
    <row r="219" spans="1:23" ht="27.6" x14ac:dyDescent="0.3">
      <c r="A219" s="83" t="str">
        <f>IF(TRIM(H219)&lt;&gt;"",COUNTA(H$9:$H219)&amp;"","")</f>
        <v/>
      </c>
      <c r="B219" s="84"/>
      <c r="C219" s="84"/>
      <c r="D219" s="85"/>
      <c r="E219" s="154" t="s">
        <v>314</v>
      </c>
      <c r="F219" s="87"/>
      <c r="H219" s="88"/>
      <c r="I219" s="89" t="str">
        <f t="shared" si="232"/>
        <v/>
      </c>
      <c r="J219" s="90" t="str">
        <f t="shared" si="224"/>
        <v/>
      </c>
      <c r="K219" s="91" t="str">
        <f t="shared" si="225"/>
        <v/>
      </c>
      <c r="L219" s="92" t="str">
        <f t="shared" si="226"/>
        <v/>
      </c>
      <c r="M219" s="93" t="str">
        <f t="shared" si="227"/>
        <v/>
      </c>
      <c r="N219" s="94" t="str">
        <f t="shared" si="228"/>
        <v/>
      </c>
      <c r="O219" s="94" t="str">
        <f t="shared" si="229"/>
        <v/>
      </c>
      <c r="P219" s="92" t="str">
        <f t="shared" si="230"/>
        <v/>
      </c>
      <c r="Q219" s="95" t="str">
        <f t="shared" si="231"/>
        <v/>
      </c>
      <c r="R219" s="116"/>
    </row>
    <row r="220" spans="1:23" ht="15" thickBot="1" x14ac:dyDescent="0.35">
      <c r="A220" s="83" t="str">
        <f>IF(TRIM(H220)&lt;&gt;"",COUNTA(H$9:$H220)&amp;"","")</f>
        <v/>
      </c>
      <c r="B220" s="98"/>
      <c r="C220" s="98"/>
      <c r="D220" s="85"/>
      <c r="E220" s="99"/>
      <c r="F220" s="87"/>
      <c r="H220" s="88"/>
      <c r="I220" s="89" t="str">
        <f t="shared" ref="I220" si="233">IF(F220=0,"",0)</f>
        <v/>
      </c>
      <c r="J220" s="90" t="str">
        <f t="shared" ref="J220" si="234">IF(F220=0,"",F220+(F220*I220))</f>
        <v/>
      </c>
      <c r="K220" s="91" t="str">
        <f t="shared" ref="K220" si="235">IF(F220=0,"",0)</f>
        <v/>
      </c>
      <c r="L220" s="92" t="str">
        <f t="shared" ref="L220" si="236">IF(F220=0,"",K220*J220)</f>
        <v/>
      </c>
      <c r="M220" s="93" t="str">
        <f t="shared" ref="M220" si="237">IF(F220=0,"",M$7)</f>
        <v/>
      </c>
      <c r="N220" s="94" t="str">
        <f t="shared" ref="N220" si="238">IF(F220=0,"",0)</f>
        <v/>
      </c>
      <c r="O220" s="94" t="str">
        <f t="shared" ref="O220" si="239">IF(F220=0,"",N220*J220)</f>
        <v/>
      </c>
      <c r="P220" s="92" t="str">
        <f t="shared" ref="P220" si="240">IF(F220=0,"",O220*M220)</f>
        <v/>
      </c>
      <c r="Q220" s="95" t="str">
        <f t="shared" ref="Q220" si="241">IF(F220=0,"",L220+P220)</f>
        <v/>
      </c>
      <c r="R220" s="116"/>
    </row>
    <row r="221" spans="1:23" s="111" customFormat="1" ht="16.2" thickBot="1" x14ac:dyDescent="0.35">
      <c r="A221" s="83" t="str">
        <f>IF(TRIM(H221)&lt;&gt;"",COUNTA(H$9:$H221)&amp;"","")</f>
        <v/>
      </c>
      <c r="B221" s="118"/>
      <c r="C221" s="118"/>
      <c r="D221" s="119"/>
      <c r="E221" s="102"/>
      <c r="F221" s="87"/>
      <c r="H221" s="120"/>
      <c r="I221" s="105" t="s">
        <v>12</v>
      </c>
      <c r="J221" s="106"/>
      <c r="K221" s="107">
        <f>SUM(L$169:L$220)</f>
        <v>8220.3072199999988</v>
      </c>
      <c r="L221" s="198" t="s">
        <v>13</v>
      </c>
      <c r="M221" s="199"/>
      <c r="N221" s="108">
        <f>SUM(P$169:P$220)</f>
        <v>3845.0347103055556</v>
      </c>
      <c r="O221" s="198" t="s">
        <v>42</v>
      </c>
      <c r="P221" s="199"/>
      <c r="Q221" s="109">
        <f>SUM(O$169:O$220)</f>
        <v>78.550249444444447</v>
      </c>
      <c r="R221" s="110">
        <f>SUM(Q$169:Q$220)</f>
        <v>12065.341930305556</v>
      </c>
      <c r="S221" s="64"/>
      <c r="T221" s="64"/>
      <c r="U221" s="64"/>
      <c r="V221" s="64"/>
      <c r="W221" s="64"/>
    </row>
    <row r="222" spans="1:23" s="166" customFormat="1" ht="20.100000000000001" customHeight="1" x14ac:dyDescent="0.3">
      <c r="A222" s="164" t="str">
        <f>IF(TRIM(H222)&lt;&gt;"",COUNTA(H$9:$H222)&amp;"","")</f>
        <v/>
      </c>
      <c r="B222" s="165"/>
      <c r="C222" s="165"/>
      <c r="D222" s="166">
        <v>230000</v>
      </c>
      <c r="E222" s="166" t="s">
        <v>128</v>
      </c>
      <c r="F222" s="167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8"/>
    </row>
    <row r="223" spans="1:23" ht="15.6" x14ac:dyDescent="0.3">
      <c r="A223" s="83" t="str">
        <f>IF(TRIM(H223)&lt;&gt;"",COUNTA(H$9:$H223)&amp;"","")</f>
        <v/>
      </c>
      <c r="B223" s="84"/>
      <c r="C223" s="84"/>
      <c r="D223" s="85"/>
      <c r="E223" s="160" t="s">
        <v>150</v>
      </c>
      <c r="F223" s="87"/>
      <c r="H223" s="88"/>
      <c r="I223" s="89" t="str">
        <f t="shared" ref="I223:I290" si="242">IF(F223=0,"",0)</f>
        <v/>
      </c>
      <c r="J223" s="90" t="str">
        <f t="shared" ref="J223:J290" si="243">IF(F223=0,"",F223+(F223*I223))</f>
        <v/>
      </c>
      <c r="K223" s="91" t="str">
        <f t="shared" ref="K223:K290" si="244">IF(F223=0,"",0)</f>
        <v/>
      </c>
      <c r="L223" s="92" t="str">
        <f t="shared" ref="L223:L290" si="245">IF(F223=0,"",K223*J223)</f>
        <v/>
      </c>
      <c r="M223" s="93" t="str">
        <f t="shared" ref="M223:M290" si="246">IF(F223=0,"",M$7)</f>
        <v/>
      </c>
      <c r="N223" s="94" t="str">
        <f t="shared" ref="N223:N290" si="247">IF(F223=0,"",0)</f>
        <v/>
      </c>
      <c r="O223" s="94" t="str">
        <f t="shared" ref="O223:O290" si="248">IF(F223=0,"",N223*J223)</f>
        <v/>
      </c>
      <c r="P223" s="92" t="str">
        <f t="shared" ref="P223:P290" si="249">IF(F223=0,"",O223*M223)</f>
        <v/>
      </c>
      <c r="Q223" s="95" t="str">
        <f t="shared" ref="Q223:Q290" si="250">IF(F223=0,"",L223+P223)</f>
        <v/>
      </c>
      <c r="R223" s="116"/>
    </row>
    <row r="224" spans="1:23" ht="18.899999999999999" customHeight="1" x14ac:dyDescent="0.3">
      <c r="A224" s="83" t="str">
        <f>IF(TRIM(H224)&lt;&gt;"",COUNTA(H$9:$H224)&amp;"","")</f>
        <v/>
      </c>
      <c r="B224" s="84"/>
      <c r="C224" s="84"/>
      <c r="D224" s="85"/>
      <c r="E224" s="121" t="s">
        <v>316</v>
      </c>
      <c r="F224" s="87"/>
      <c r="H224" s="88"/>
      <c r="I224" s="89" t="str">
        <f t="shared" si="242"/>
        <v/>
      </c>
      <c r="J224" s="90" t="str">
        <f t="shared" si="243"/>
        <v/>
      </c>
      <c r="K224" s="91" t="str">
        <f t="shared" si="244"/>
        <v/>
      </c>
      <c r="L224" s="92" t="str">
        <f t="shared" si="245"/>
        <v/>
      </c>
      <c r="M224" s="93" t="str">
        <f t="shared" si="246"/>
        <v/>
      </c>
      <c r="N224" s="94" t="str">
        <f t="shared" si="247"/>
        <v/>
      </c>
      <c r="O224" s="94" t="str">
        <f t="shared" si="248"/>
        <v/>
      </c>
      <c r="P224" s="92" t="str">
        <f t="shared" si="249"/>
        <v/>
      </c>
      <c r="Q224" s="95" t="str">
        <f t="shared" si="250"/>
        <v/>
      </c>
      <c r="R224" s="116"/>
    </row>
    <row r="225" spans="1:18" ht="18.899999999999999" customHeight="1" x14ac:dyDescent="0.3">
      <c r="A225" s="83" t="str">
        <f>IF(TRIM(H225)&lt;&gt;"",COUNTA(H$9:$H225)&amp;"","")</f>
        <v>144</v>
      </c>
      <c r="B225" s="84" t="s">
        <v>402</v>
      </c>
      <c r="C225" s="84"/>
      <c r="D225" s="84"/>
      <c r="E225" s="153" t="s">
        <v>317</v>
      </c>
      <c r="F225" s="87">
        <v>1</v>
      </c>
      <c r="H225" s="88" t="s">
        <v>181</v>
      </c>
      <c r="I225" s="89">
        <f t="shared" si="242"/>
        <v>0</v>
      </c>
      <c r="J225" s="90">
        <f t="shared" si="243"/>
        <v>1</v>
      </c>
      <c r="K225" s="91">
        <v>20.48</v>
      </c>
      <c r="L225" s="92">
        <f t="shared" si="245"/>
        <v>20.48</v>
      </c>
      <c r="M225" s="93">
        <f t="shared" si="246"/>
        <v>48.95</v>
      </c>
      <c r="N225" s="94">
        <v>0.14222222222222225</v>
      </c>
      <c r="O225" s="94">
        <f t="shared" si="248"/>
        <v>0.14222222222222225</v>
      </c>
      <c r="P225" s="92">
        <f t="shared" si="249"/>
        <v>6.9617777777777796</v>
      </c>
      <c r="Q225" s="95">
        <f t="shared" si="250"/>
        <v>27.44177777777778</v>
      </c>
      <c r="R225" s="116"/>
    </row>
    <row r="226" spans="1:18" ht="18.899999999999999" customHeight="1" x14ac:dyDescent="0.3">
      <c r="A226" s="83" t="str">
        <f>IF(TRIM(H226)&lt;&gt;"",COUNTA(H$9:$H226)&amp;"","")</f>
        <v>145</v>
      </c>
      <c r="B226" s="84" t="s">
        <v>402</v>
      </c>
      <c r="C226" s="84"/>
      <c r="D226" s="84"/>
      <c r="E226" s="153" t="s">
        <v>318</v>
      </c>
      <c r="F226" s="87">
        <v>2</v>
      </c>
      <c r="H226" s="88" t="s">
        <v>181</v>
      </c>
      <c r="I226" s="89">
        <f t="shared" si="242"/>
        <v>0</v>
      </c>
      <c r="J226" s="90">
        <f t="shared" si="243"/>
        <v>2</v>
      </c>
      <c r="K226" s="91">
        <v>20.48</v>
      </c>
      <c r="L226" s="92">
        <f t="shared" si="245"/>
        <v>40.96</v>
      </c>
      <c r="M226" s="93">
        <f t="shared" si="246"/>
        <v>48.95</v>
      </c>
      <c r="N226" s="94">
        <v>0.14222222222222225</v>
      </c>
      <c r="O226" s="94">
        <f t="shared" si="248"/>
        <v>0.2844444444444445</v>
      </c>
      <c r="P226" s="92">
        <f t="shared" si="249"/>
        <v>13.923555555555559</v>
      </c>
      <c r="Q226" s="95">
        <f t="shared" si="250"/>
        <v>54.88355555555556</v>
      </c>
      <c r="R226" s="116"/>
    </row>
    <row r="227" spans="1:18" ht="18.899999999999999" customHeight="1" x14ac:dyDescent="0.3">
      <c r="A227" s="83" t="str">
        <f>IF(TRIM(H227)&lt;&gt;"",COUNTA(H$9:$H227)&amp;"","")</f>
        <v>146</v>
      </c>
      <c r="B227" s="84" t="s">
        <v>402</v>
      </c>
      <c r="C227" s="84"/>
      <c r="D227" s="84"/>
      <c r="E227" s="152" t="s">
        <v>319</v>
      </c>
      <c r="F227" s="87">
        <v>4</v>
      </c>
      <c r="H227" s="88" t="s">
        <v>181</v>
      </c>
      <c r="I227" s="89">
        <f t="shared" si="242"/>
        <v>0</v>
      </c>
      <c r="J227" s="90">
        <f t="shared" si="243"/>
        <v>4</v>
      </c>
      <c r="K227" s="91">
        <v>23.04</v>
      </c>
      <c r="L227" s="92">
        <f t="shared" si="245"/>
        <v>92.16</v>
      </c>
      <c r="M227" s="93">
        <f t="shared" si="246"/>
        <v>48.95</v>
      </c>
      <c r="N227" s="94">
        <v>0.16000000000000003</v>
      </c>
      <c r="O227" s="94">
        <f t="shared" si="248"/>
        <v>0.64000000000000012</v>
      </c>
      <c r="P227" s="92">
        <f t="shared" si="249"/>
        <v>31.328000000000007</v>
      </c>
      <c r="Q227" s="95">
        <f t="shared" si="250"/>
        <v>123.488</v>
      </c>
      <c r="R227" s="116"/>
    </row>
    <row r="228" spans="1:18" ht="18.899999999999999" customHeight="1" x14ac:dyDescent="0.3">
      <c r="A228" s="83" t="str">
        <f>IF(TRIM(H228)&lt;&gt;"",COUNTA(H$9:$H228)&amp;"","")</f>
        <v>147</v>
      </c>
      <c r="B228" s="84" t="s">
        <v>402</v>
      </c>
      <c r="C228" s="84"/>
      <c r="D228" s="84"/>
      <c r="E228" s="152" t="s">
        <v>320</v>
      </c>
      <c r="F228" s="87">
        <v>3</v>
      </c>
      <c r="H228" s="88" t="s">
        <v>181</v>
      </c>
      <c r="I228" s="89">
        <f t="shared" si="242"/>
        <v>0</v>
      </c>
      <c r="J228" s="90">
        <f t="shared" si="243"/>
        <v>3</v>
      </c>
      <c r="K228" s="91">
        <v>30.720000000000006</v>
      </c>
      <c r="L228" s="92">
        <f t="shared" si="245"/>
        <v>92.160000000000025</v>
      </c>
      <c r="M228" s="93">
        <f t="shared" si="246"/>
        <v>48.95</v>
      </c>
      <c r="N228" s="94">
        <v>0.21333333333333337</v>
      </c>
      <c r="O228" s="94">
        <f t="shared" si="248"/>
        <v>0.64000000000000012</v>
      </c>
      <c r="P228" s="92">
        <f t="shared" si="249"/>
        <v>31.328000000000007</v>
      </c>
      <c r="Q228" s="95">
        <f t="shared" si="250"/>
        <v>123.48800000000003</v>
      </c>
      <c r="R228" s="116"/>
    </row>
    <row r="229" spans="1:18" ht="18.899999999999999" customHeight="1" x14ac:dyDescent="0.3">
      <c r="A229" s="83" t="str">
        <f>IF(TRIM(H229)&lt;&gt;"",COUNTA(H$9:$H229)&amp;"","")</f>
        <v>148</v>
      </c>
      <c r="B229" s="84" t="s">
        <v>402</v>
      </c>
      <c r="C229" s="84"/>
      <c r="D229" s="84"/>
      <c r="E229" s="153" t="s">
        <v>321</v>
      </c>
      <c r="F229" s="87">
        <v>1</v>
      </c>
      <c r="H229" s="88" t="s">
        <v>181</v>
      </c>
      <c r="I229" s="89">
        <f t="shared" si="242"/>
        <v>0</v>
      </c>
      <c r="J229" s="90">
        <f t="shared" si="243"/>
        <v>1</v>
      </c>
      <c r="K229" s="91">
        <v>25.6</v>
      </c>
      <c r="L229" s="92">
        <f t="shared" si="245"/>
        <v>25.6</v>
      </c>
      <c r="M229" s="93">
        <f t="shared" si="246"/>
        <v>48.95</v>
      </c>
      <c r="N229" s="94">
        <v>0.17777777777777778</v>
      </c>
      <c r="O229" s="94">
        <f t="shared" si="248"/>
        <v>0.17777777777777778</v>
      </c>
      <c r="P229" s="92">
        <f t="shared" si="249"/>
        <v>8.7022222222222236</v>
      </c>
      <c r="Q229" s="95">
        <f t="shared" si="250"/>
        <v>34.302222222222227</v>
      </c>
      <c r="R229" s="116"/>
    </row>
    <row r="230" spans="1:18" ht="18.899999999999999" customHeight="1" x14ac:dyDescent="0.3">
      <c r="A230" s="83" t="str">
        <f>IF(TRIM(H230)&lt;&gt;"",COUNTA(H$9:$H230)&amp;"","")</f>
        <v>149</v>
      </c>
      <c r="B230" s="84" t="s">
        <v>402</v>
      </c>
      <c r="C230" s="84"/>
      <c r="D230" s="84"/>
      <c r="E230" s="153" t="s">
        <v>322</v>
      </c>
      <c r="F230" s="87">
        <v>1</v>
      </c>
      <c r="H230" s="88" t="s">
        <v>181</v>
      </c>
      <c r="I230" s="89">
        <f t="shared" si="242"/>
        <v>0</v>
      </c>
      <c r="J230" s="90">
        <f t="shared" si="243"/>
        <v>1</v>
      </c>
      <c r="K230" s="91">
        <v>28.160000000000004</v>
      </c>
      <c r="L230" s="92">
        <f t="shared" si="245"/>
        <v>28.160000000000004</v>
      </c>
      <c r="M230" s="93">
        <f t="shared" si="246"/>
        <v>48.95</v>
      </c>
      <c r="N230" s="94">
        <v>0.19555555555555559</v>
      </c>
      <c r="O230" s="94">
        <f t="shared" si="248"/>
        <v>0.19555555555555559</v>
      </c>
      <c r="P230" s="92">
        <f t="shared" si="249"/>
        <v>9.5724444444444465</v>
      </c>
      <c r="Q230" s="95">
        <f t="shared" si="250"/>
        <v>37.732444444444454</v>
      </c>
      <c r="R230" s="116"/>
    </row>
    <row r="231" spans="1:18" ht="18.899999999999999" customHeight="1" x14ac:dyDescent="0.3">
      <c r="A231" s="83" t="str">
        <f>IF(TRIM(H231)&lt;&gt;"",COUNTA(H$9:$H231)&amp;"","")</f>
        <v>150</v>
      </c>
      <c r="B231" s="84" t="s">
        <v>402</v>
      </c>
      <c r="C231" s="84"/>
      <c r="D231" s="84"/>
      <c r="E231" s="86" t="s">
        <v>323</v>
      </c>
      <c r="F231" s="87">
        <v>1</v>
      </c>
      <c r="H231" s="88" t="s">
        <v>181</v>
      </c>
      <c r="I231" s="89">
        <f t="shared" si="242"/>
        <v>0</v>
      </c>
      <c r="J231" s="90">
        <f t="shared" si="243"/>
        <v>1</v>
      </c>
      <c r="K231" s="91">
        <v>43.52</v>
      </c>
      <c r="L231" s="92">
        <f t="shared" si="245"/>
        <v>43.52</v>
      </c>
      <c r="M231" s="93">
        <f t="shared" si="246"/>
        <v>48.95</v>
      </c>
      <c r="N231" s="94">
        <v>0.30222222222222228</v>
      </c>
      <c r="O231" s="94">
        <f t="shared" si="248"/>
        <v>0.30222222222222228</v>
      </c>
      <c r="P231" s="92">
        <f t="shared" si="249"/>
        <v>14.793777777777782</v>
      </c>
      <c r="Q231" s="95">
        <f t="shared" si="250"/>
        <v>58.313777777777787</v>
      </c>
      <c r="R231" s="116"/>
    </row>
    <row r="232" spans="1:18" ht="18.899999999999999" customHeight="1" x14ac:dyDescent="0.3">
      <c r="A232" s="83" t="str">
        <f>IF(TRIM(H232)&lt;&gt;"",COUNTA(H$9:$H232)&amp;"","")</f>
        <v>151</v>
      </c>
      <c r="B232" s="84" t="s">
        <v>402</v>
      </c>
      <c r="C232" s="84"/>
      <c r="D232" s="84"/>
      <c r="E232" s="86" t="s">
        <v>324</v>
      </c>
      <c r="F232" s="87">
        <v>5</v>
      </c>
      <c r="H232" s="88" t="s">
        <v>181</v>
      </c>
      <c r="I232" s="89">
        <f t="shared" si="242"/>
        <v>0</v>
      </c>
      <c r="J232" s="90">
        <f t="shared" si="243"/>
        <v>5</v>
      </c>
      <c r="K232" s="91">
        <v>20.48</v>
      </c>
      <c r="L232" s="92">
        <f t="shared" si="245"/>
        <v>102.4</v>
      </c>
      <c r="M232" s="93">
        <f t="shared" si="246"/>
        <v>48.95</v>
      </c>
      <c r="N232" s="94">
        <v>0.14222222222222225</v>
      </c>
      <c r="O232" s="94">
        <f t="shared" si="248"/>
        <v>0.71111111111111125</v>
      </c>
      <c r="P232" s="92">
        <f t="shared" si="249"/>
        <v>34.808888888888895</v>
      </c>
      <c r="Q232" s="95">
        <f t="shared" si="250"/>
        <v>137.20888888888891</v>
      </c>
      <c r="R232" s="116"/>
    </row>
    <row r="233" spans="1:18" ht="18.899999999999999" customHeight="1" x14ac:dyDescent="0.3">
      <c r="A233" s="83" t="str">
        <f>IF(TRIM(H233)&lt;&gt;"",COUNTA(H$9:$H233)&amp;"","")</f>
        <v>152</v>
      </c>
      <c r="B233" s="84" t="s">
        <v>402</v>
      </c>
      <c r="C233" s="84"/>
      <c r="D233" s="84"/>
      <c r="E233" s="97" t="s">
        <v>416</v>
      </c>
      <c r="F233" s="87">
        <v>3</v>
      </c>
      <c r="H233" s="88" t="s">
        <v>181</v>
      </c>
      <c r="I233" s="89">
        <f t="shared" si="242"/>
        <v>0</v>
      </c>
      <c r="J233" s="90">
        <f t="shared" si="243"/>
        <v>3</v>
      </c>
      <c r="K233" s="91">
        <v>30.720000000000006</v>
      </c>
      <c r="L233" s="92">
        <f t="shared" si="245"/>
        <v>92.160000000000025</v>
      </c>
      <c r="M233" s="93">
        <f t="shared" si="246"/>
        <v>48.95</v>
      </c>
      <c r="N233" s="94">
        <v>0.21333333333333337</v>
      </c>
      <c r="O233" s="94">
        <f t="shared" si="248"/>
        <v>0.64000000000000012</v>
      </c>
      <c r="P233" s="92">
        <f t="shared" si="249"/>
        <v>31.328000000000007</v>
      </c>
      <c r="Q233" s="95">
        <f t="shared" si="250"/>
        <v>123.48800000000003</v>
      </c>
      <c r="R233" s="116"/>
    </row>
    <row r="234" spans="1:18" ht="18.899999999999999" customHeight="1" x14ac:dyDescent="0.3">
      <c r="A234" s="83" t="str">
        <f>IF(TRIM(H234)&lt;&gt;"",COUNTA(H$9:$H234)&amp;"","")</f>
        <v>153</v>
      </c>
      <c r="B234" s="84" t="s">
        <v>402</v>
      </c>
      <c r="C234" s="84"/>
      <c r="D234" s="84"/>
      <c r="E234" s="97" t="s">
        <v>325</v>
      </c>
      <c r="F234" s="87">
        <v>5</v>
      </c>
      <c r="H234" s="88" t="s">
        <v>181</v>
      </c>
      <c r="I234" s="89">
        <f t="shared" si="242"/>
        <v>0</v>
      </c>
      <c r="J234" s="90">
        <f t="shared" si="243"/>
        <v>5</v>
      </c>
      <c r="K234" s="91">
        <v>44.8</v>
      </c>
      <c r="L234" s="92">
        <f t="shared" si="245"/>
        <v>224</v>
      </c>
      <c r="M234" s="93">
        <f t="shared" si="246"/>
        <v>48.95</v>
      </c>
      <c r="N234" s="94">
        <v>0.31111111111111112</v>
      </c>
      <c r="O234" s="94">
        <f t="shared" si="248"/>
        <v>1.5555555555555556</v>
      </c>
      <c r="P234" s="92">
        <f t="shared" si="249"/>
        <v>76.144444444444446</v>
      </c>
      <c r="Q234" s="95">
        <f t="shared" si="250"/>
        <v>300.14444444444445</v>
      </c>
      <c r="R234" s="116"/>
    </row>
    <row r="235" spans="1:18" ht="27.6" x14ac:dyDescent="0.3">
      <c r="A235" s="83" t="str">
        <f>IF(TRIM(H235)&lt;&gt;"",COUNTA(H$9:$H235)&amp;"","")</f>
        <v>154</v>
      </c>
      <c r="B235" s="84" t="s">
        <v>402</v>
      </c>
      <c r="C235" s="84"/>
      <c r="D235" s="84"/>
      <c r="E235" s="86" t="s">
        <v>326</v>
      </c>
      <c r="F235" s="87">
        <v>1</v>
      </c>
      <c r="H235" s="88" t="s">
        <v>181</v>
      </c>
      <c r="I235" s="89">
        <f t="shared" si="242"/>
        <v>0</v>
      </c>
      <c r="J235" s="90">
        <f t="shared" si="243"/>
        <v>1</v>
      </c>
      <c r="K235" s="91">
        <v>33.28</v>
      </c>
      <c r="L235" s="92">
        <f t="shared" si="245"/>
        <v>33.28</v>
      </c>
      <c r="M235" s="93">
        <f t="shared" si="246"/>
        <v>48.95</v>
      </c>
      <c r="N235" s="94">
        <v>0.23111111111111113</v>
      </c>
      <c r="O235" s="94">
        <f t="shared" si="248"/>
        <v>0.23111111111111113</v>
      </c>
      <c r="P235" s="92">
        <f t="shared" si="249"/>
        <v>11.312888888888891</v>
      </c>
      <c r="Q235" s="95">
        <f t="shared" si="250"/>
        <v>44.592888888888893</v>
      </c>
      <c r="R235" s="116"/>
    </row>
    <row r="236" spans="1:18" ht="27.6" x14ac:dyDescent="0.3">
      <c r="A236" s="83" t="str">
        <f>IF(TRIM(H236)&lt;&gt;"",COUNTA(H$9:$H236)&amp;"","")</f>
        <v>155</v>
      </c>
      <c r="B236" s="84" t="s">
        <v>402</v>
      </c>
      <c r="C236" s="84"/>
      <c r="D236" s="84"/>
      <c r="E236" s="86" t="s">
        <v>327</v>
      </c>
      <c r="F236" s="87">
        <v>1</v>
      </c>
      <c r="H236" s="88" t="s">
        <v>181</v>
      </c>
      <c r="I236" s="89">
        <f t="shared" si="242"/>
        <v>0</v>
      </c>
      <c r="J236" s="90">
        <f t="shared" si="243"/>
        <v>1</v>
      </c>
      <c r="K236" s="91">
        <v>46.08</v>
      </c>
      <c r="L236" s="92">
        <f t="shared" si="245"/>
        <v>46.08</v>
      </c>
      <c r="M236" s="93">
        <f t="shared" si="246"/>
        <v>48.95</v>
      </c>
      <c r="N236" s="94">
        <v>0.32000000000000006</v>
      </c>
      <c r="O236" s="94">
        <f t="shared" si="248"/>
        <v>0.32000000000000006</v>
      </c>
      <c r="P236" s="92">
        <f t="shared" si="249"/>
        <v>15.664000000000003</v>
      </c>
      <c r="Q236" s="95">
        <f t="shared" si="250"/>
        <v>61.744</v>
      </c>
      <c r="R236" s="116"/>
    </row>
    <row r="237" spans="1:18" ht="27.6" x14ac:dyDescent="0.3">
      <c r="A237" s="83" t="str">
        <f>IF(TRIM(H237)&lt;&gt;"",COUNTA(H$9:$H237)&amp;"","")</f>
        <v>156</v>
      </c>
      <c r="B237" s="84" t="s">
        <v>402</v>
      </c>
      <c r="C237" s="84"/>
      <c r="D237" s="84"/>
      <c r="E237" s="86" t="s">
        <v>328</v>
      </c>
      <c r="F237" s="87">
        <v>1</v>
      </c>
      <c r="H237" s="88" t="s">
        <v>181</v>
      </c>
      <c r="I237" s="89">
        <f t="shared" si="242"/>
        <v>0</v>
      </c>
      <c r="J237" s="90">
        <f t="shared" si="243"/>
        <v>1</v>
      </c>
      <c r="K237" s="91">
        <v>33.28</v>
      </c>
      <c r="L237" s="92">
        <f t="shared" si="245"/>
        <v>33.28</v>
      </c>
      <c r="M237" s="93">
        <f t="shared" si="246"/>
        <v>48.95</v>
      </c>
      <c r="N237" s="94">
        <v>0.23111111111111113</v>
      </c>
      <c r="O237" s="94">
        <f t="shared" si="248"/>
        <v>0.23111111111111113</v>
      </c>
      <c r="P237" s="92">
        <f t="shared" si="249"/>
        <v>11.312888888888891</v>
      </c>
      <c r="Q237" s="95">
        <f t="shared" si="250"/>
        <v>44.592888888888893</v>
      </c>
      <c r="R237" s="116"/>
    </row>
    <row r="238" spans="1:18" ht="27.6" x14ac:dyDescent="0.3">
      <c r="A238" s="83" t="str">
        <f>IF(TRIM(H238)&lt;&gt;"",COUNTA(H$9:$H238)&amp;"","")</f>
        <v>157</v>
      </c>
      <c r="B238" s="84" t="s">
        <v>402</v>
      </c>
      <c r="C238" s="84"/>
      <c r="D238" s="84"/>
      <c r="E238" s="86" t="s">
        <v>329</v>
      </c>
      <c r="F238" s="87">
        <v>2</v>
      </c>
      <c r="H238" s="88" t="s">
        <v>181</v>
      </c>
      <c r="I238" s="89">
        <f t="shared" si="242"/>
        <v>0</v>
      </c>
      <c r="J238" s="90">
        <f t="shared" si="243"/>
        <v>2</v>
      </c>
      <c r="K238" s="91">
        <v>38.4</v>
      </c>
      <c r="L238" s="92">
        <f t="shared" si="245"/>
        <v>76.8</v>
      </c>
      <c r="M238" s="93">
        <f t="shared" si="246"/>
        <v>48.95</v>
      </c>
      <c r="N238" s="94">
        <v>0.26666666666666672</v>
      </c>
      <c r="O238" s="94">
        <f t="shared" si="248"/>
        <v>0.53333333333333344</v>
      </c>
      <c r="P238" s="92">
        <f t="shared" si="249"/>
        <v>26.106666666666673</v>
      </c>
      <c r="Q238" s="95">
        <f t="shared" si="250"/>
        <v>102.90666666666667</v>
      </c>
      <c r="R238" s="116"/>
    </row>
    <row r="239" spans="1:18" ht="27.6" x14ac:dyDescent="0.3">
      <c r="A239" s="83" t="str">
        <f>IF(TRIM(H239)&lt;&gt;"",COUNTA(H$9:$H239)&amp;"","")</f>
        <v>158</v>
      </c>
      <c r="B239" s="84" t="s">
        <v>402</v>
      </c>
      <c r="C239" s="84"/>
      <c r="D239" s="84"/>
      <c r="E239" s="97" t="s">
        <v>330</v>
      </c>
      <c r="F239" s="87">
        <v>1</v>
      </c>
      <c r="H239" s="88" t="s">
        <v>181</v>
      </c>
      <c r="I239" s="89">
        <f t="shared" si="242"/>
        <v>0</v>
      </c>
      <c r="J239" s="90">
        <f t="shared" si="243"/>
        <v>1</v>
      </c>
      <c r="K239" s="91">
        <v>43.52</v>
      </c>
      <c r="L239" s="92">
        <f t="shared" si="245"/>
        <v>43.52</v>
      </c>
      <c r="M239" s="93">
        <f t="shared" si="246"/>
        <v>48.95</v>
      </c>
      <c r="N239" s="94">
        <v>0.30222222222222228</v>
      </c>
      <c r="O239" s="94">
        <f t="shared" si="248"/>
        <v>0.30222222222222228</v>
      </c>
      <c r="P239" s="92">
        <f t="shared" si="249"/>
        <v>14.793777777777782</v>
      </c>
      <c r="Q239" s="95">
        <f t="shared" si="250"/>
        <v>58.313777777777787</v>
      </c>
      <c r="R239" s="116"/>
    </row>
    <row r="240" spans="1:18" ht="27.6" x14ac:dyDescent="0.3">
      <c r="A240" s="83" t="str">
        <f>IF(TRIM(H240)&lt;&gt;"",COUNTA(H$9:$H240)&amp;"","")</f>
        <v>159</v>
      </c>
      <c r="B240" s="84" t="s">
        <v>402</v>
      </c>
      <c r="C240" s="84"/>
      <c r="D240" s="84"/>
      <c r="E240" s="97" t="s">
        <v>331</v>
      </c>
      <c r="F240" s="87">
        <v>1</v>
      </c>
      <c r="H240" s="88" t="s">
        <v>181</v>
      </c>
      <c r="I240" s="89">
        <f t="shared" si="242"/>
        <v>0</v>
      </c>
      <c r="J240" s="90">
        <f t="shared" si="243"/>
        <v>1</v>
      </c>
      <c r="K240" s="91">
        <v>43.52</v>
      </c>
      <c r="L240" s="92">
        <f t="shared" si="245"/>
        <v>43.52</v>
      </c>
      <c r="M240" s="93">
        <f t="shared" si="246"/>
        <v>48.95</v>
      </c>
      <c r="N240" s="94">
        <v>0.30222222222222228</v>
      </c>
      <c r="O240" s="94">
        <f t="shared" si="248"/>
        <v>0.30222222222222228</v>
      </c>
      <c r="P240" s="92">
        <f t="shared" si="249"/>
        <v>14.793777777777782</v>
      </c>
      <c r="Q240" s="95">
        <f t="shared" si="250"/>
        <v>58.313777777777787</v>
      </c>
      <c r="R240" s="116"/>
    </row>
    <row r="241" spans="1:18" ht="27.6" x14ac:dyDescent="0.3">
      <c r="A241" s="83" t="str">
        <f>IF(TRIM(H241)&lt;&gt;"",COUNTA(H$9:$H241)&amp;"","")</f>
        <v>160</v>
      </c>
      <c r="B241" s="84" t="s">
        <v>402</v>
      </c>
      <c r="C241" s="84"/>
      <c r="D241" s="84"/>
      <c r="E241" s="86" t="s">
        <v>332</v>
      </c>
      <c r="F241" s="87">
        <v>1</v>
      </c>
      <c r="H241" s="88" t="s">
        <v>181</v>
      </c>
      <c r="I241" s="89">
        <f t="shared" si="242"/>
        <v>0</v>
      </c>
      <c r="J241" s="90">
        <f t="shared" si="243"/>
        <v>1</v>
      </c>
      <c r="K241" s="91">
        <v>46.08</v>
      </c>
      <c r="L241" s="92">
        <f t="shared" si="245"/>
        <v>46.08</v>
      </c>
      <c r="M241" s="93">
        <f t="shared" si="246"/>
        <v>48.95</v>
      </c>
      <c r="N241" s="94">
        <v>0.32000000000000006</v>
      </c>
      <c r="O241" s="94">
        <f t="shared" si="248"/>
        <v>0.32000000000000006</v>
      </c>
      <c r="P241" s="92">
        <f t="shared" si="249"/>
        <v>15.664000000000003</v>
      </c>
      <c r="Q241" s="95">
        <f t="shared" si="250"/>
        <v>61.744</v>
      </c>
      <c r="R241" s="116"/>
    </row>
    <row r="242" spans="1:18" ht="27.6" x14ac:dyDescent="0.3">
      <c r="A242" s="83" t="str">
        <f>IF(TRIM(H242)&lt;&gt;"",COUNTA(H$9:$H242)&amp;"","")</f>
        <v>161</v>
      </c>
      <c r="B242" s="84" t="s">
        <v>402</v>
      </c>
      <c r="C242" s="84"/>
      <c r="D242" s="84"/>
      <c r="E242" s="86" t="s">
        <v>333</v>
      </c>
      <c r="F242" s="87">
        <v>1</v>
      </c>
      <c r="H242" s="88" t="s">
        <v>181</v>
      </c>
      <c r="I242" s="89">
        <f t="shared" si="242"/>
        <v>0</v>
      </c>
      <c r="J242" s="90">
        <f t="shared" si="243"/>
        <v>1</v>
      </c>
      <c r="K242" s="91">
        <v>46.08</v>
      </c>
      <c r="L242" s="92">
        <f t="shared" si="245"/>
        <v>46.08</v>
      </c>
      <c r="M242" s="93">
        <f t="shared" si="246"/>
        <v>48.95</v>
      </c>
      <c r="N242" s="94">
        <v>0.32000000000000006</v>
      </c>
      <c r="O242" s="94">
        <f t="shared" si="248"/>
        <v>0.32000000000000006</v>
      </c>
      <c r="P242" s="92">
        <f t="shared" si="249"/>
        <v>15.664000000000003</v>
      </c>
      <c r="Q242" s="95">
        <f t="shared" si="250"/>
        <v>61.744</v>
      </c>
      <c r="R242" s="116"/>
    </row>
    <row r="243" spans="1:18" ht="18.899999999999999" customHeight="1" x14ac:dyDescent="0.3">
      <c r="A243" s="83" t="str">
        <f>IF(TRIM(H243)&lt;&gt;"",COUNTA(H$9:$H243)&amp;"","")</f>
        <v>162</v>
      </c>
      <c r="B243" s="84" t="s">
        <v>402</v>
      </c>
      <c r="C243" s="84"/>
      <c r="D243" s="84"/>
      <c r="E243" s="153" t="s">
        <v>334</v>
      </c>
      <c r="F243" s="87">
        <v>5</v>
      </c>
      <c r="H243" s="88" t="s">
        <v>181</v>
      </c>
      <c r="I243" s="89">
        <f t="shared" si="242"/>
        <v>0</v>
      </c>
      <c r="J243" s="90">
        <f t="shared" si="243"/>
        <v>5</v>
      </c>
      <c r="K243" s="91">
        <v>23.04</v>
      </c>
      <c r="L243" s="92">
        <f t="shared" si="245"/>
        <v>115.19999999999999</v>
      </c>
      <c r="M243" s="93">
        <f t="shared" si="246"/>
        <v>48.95</v>
      </c>
      <c r="N243" s="94">
        <v>0.16000000000000003</v>
      </c>
      <c r="O243" s="94">
        <f t="shared" si="248"/>
        <v>0.80000000000000016</v>
      </c>
      <c r="P243" s="92">
        <f t="shared" si="249"/>
        <v>39.160000000000011</v>
      </c>
      <c r="Q243" s="95">
        <f t="shared" si="250"/>
        <v>154.36000000000001</v>
      </c>
      <c r="R243" s="116"/>
    </row>
    <row r="244" spans="1:18" ht="18.899999999999999" customHeight="1" x14ac:dyDescent="0.3">
      <c r="A244" s="83" t="str">
        <f>IF(TRIM(H244)&lt;&gt;"",COUNTA(H$9:$H244)&amp;"","")</f>
        <v>163</v>
      </c>
      <c r="B244" s="84" t="s">
        <v>402</v>
      </c>
      <c r="C244" s="84"/>
      <c r="D244" s="84"/>
      <c r="E244" s="153" t="s">
        <v>335</v>
      </c>
      <c r="F244" s="87">
        <v>3</v>
      </c>
      <c r="H244" s="88" t="s">
        <v>181</v>
      </c>
      <c r="I244" s="89">
        <f t="shared" si="242"/>
        <v>0</v>
      </c>
      <c r="J244" s="90">
        <f t="shared" si="243"/>
        <v>3</v>
      </c>
      <c r="K244" s="91">
        <v>30.720000000000006</v>
      </c>
      <c r="L244" s="92">
        <f t="shared" si="245"/>
        <v>92.160000000000025</v>
      </c>
      <c r="M244" s="93">
        <f t="shared" si="246"/>
        <v>48.95</v>
      </c>
      <c r="N244" s="94">
        <v>0.21333333333333337</v>
      </c>
      <c r="O244" s="94">
        <f t="shared" si="248"/>
        <v>0.64000000000000012</v>
      </c>
      <c r="P244" s="92">
        <f t="shared" si="249"/>
        <v>31.328000000000007</v>
      </c>
      <c r="Q244" s="95">
        <f t="shared" si="250"/>
        <v>123.48800000000003</v>
      </c>
      <c r="R244" s="116"/>
    </row>
    <row r="245" spans="1:18" ht="18.899999999999999" customHeight="1" x14ac:dyDescent="0.3">
      <c r="A245" s="83" t="str">
        <f>IF(TRIM(H245)&lt;&gt;"",COUNTA(H$9:$H245)&amp;"","")</f>
        <v>164</v>
      </c>
      <c r="B245" s="84" t="s">
        <v>402</v>
      </c>
      <c r="C245" s="84"/>
      <c r="D245" s="84"/>
      <c r="E245" s="153" t="s">
        <v>336</v>
      </c>
      <c r="F245" s="87">
        <v>2</v>
      </c>
      <c r="H245" s="88" t="s">
        <v>181</v>
      </c>
      <c r="I245" s="89">
        <f t="shared" si="242"/>
        <v>0</v>
      </c>
      <c r="J245" s="90">
        <f t="shared" si="243"/>
        <v>2</v>
      </c>
      <c r="K245" s="91">
        <v>30.720000000000006</v>
      </c>
      <c r="L245" s="92">
        <f t="shared" si="245"/>
        <v>61.440000000000012</v>
      </c>
      <c r="M245" s="93">
        <f t="shared" si="246"/>
        <v>48.95</v>
      </c>
      <c r="N245" s="94">
        <v>0.21333333333333337</v>
      </c>
      <c r="O245" s="94">
        <f t="shared" si="248"/>
        <v>0.42666666666666675</v>
      </c>
      <c r="P245" s="92">
        <f t="shared" si="249"/>
        <v>20.885333333333339</v>
      </c>
      <c r="Q245" s="95">
        <f t="shared" si="250"/>
        <v>82.325333333333347</v>
      </c>
      <c r="R245" s="116"/>
    </row>
    <row r="246" spans="1:18" ht="18.899999999999999" customHeight="1" x14ac:dyDescent="0.3">
      <c r="A246" s="83" t="str">
        <f>IF(TRIM(H246)&lt;&gt;"",COUNTA(H$9:$H246)&amp;"","")</f>
        <v>165</v>
      </c>
      <c r="B246" s="84" t="s">
        <v>402</v>
      </c>
      <c r="C246" s="84"/>
      <c r="D246" s="84"/>
      <c r="E246" s="153" t="s">
        <v>337</v>
      </c>
      <c r="F246" s="87">
        <v>4</v>
      </c>
      <c r="H246" s="88" t="s">
        <v>181</v>
      </c>
      <c r="I246" s="89">
        <f t="shared" si="242"/>
        <v>0</v>
      </c>
      <c r="J246" s="90">
        <f t="shared" si="243"/>
        <v>4</v>
      </c>
      <c r="K246" s="91">
        <v>23.04</v>
      </c>
      <c r="L246" s="92">
        <f t="shared" si="245"/>
        <v>92.16</v>
      </c>
      <c r="M246" s="93">
        <f t="shared" si="246"/>
        <v>48.95</v>
      </c>
      <c r="N246" s="94">
        <v>0.16000000000000003</v>
      </c>
      <c r="O246" s="94">
        <f t="shared" si="248"/>
        <v>0.64000000000000012</v>
      </c>
      <c r="P246" s="92">
        <f t="shared" si="249"/>
        <v>31.328000000000007</v>
      </c>
      <c r="Q246" s="95">
        <f t="shared" si="250"/>
        <v>123.488</v>
      </c>
      <c r="R246" s="116"/>
    </row>
    <row r="247" spans="1:18" ht="18.899999999999999" customHeight="1" x14ac:dyDescent="0.3">
      <c r="A247" s="83" t="str">
        <f>IF(TRIM(H247)&lt;&gt;"",COUNTA(H$9:$H247)&amp;"","")</f>
        <v>166</v>
      </c>
      <c r="B247" s="84" t="s">
        <v>402</v>
      </c>
      <c r="C247" s="84"/>
      <c r="D247" s="84"/>
      <c r="E247" s="153" t="s">
        <v>338</v>
      </c>
      <c r="F247" s="87">
        <v>1</v>
      </c>
      <c r="H247" s="88" t="s">
        <v>181</v>
      </c>
      <c r="I247" s="89">
        <f t="shared" si="242"/>
        <v>0</v>
      </c>
      <c r="J247" s="90">
        <f t="shared" si="243"/>
        <v>1</v>
      </c>
      <c r="K247" s="91">
        <v>28.160000000000004</v>
      </c>
      <c r="L247" s="92">
        <f t="shared" si="245"/>
        <v>28.160000000000004</v>
      </c>
      <c r="M247" s="93">
        <f t="shared" si="246"/>
        <v>48.95</v>
      </c>
      <c r="N247" s="94">
        <v>0.19555555555555559</v>
      </c>
      <c r="O247" s="94">
        <f t="shared" si="248"/>
        <v>0.19555555555555559</v>
      </c>
      <c r="P247" s="92">
        <f t="shared" si="249"/>
        <v>9.5724444444444465</v>
      </c>
      <c r="Q247" s="95">
        <f t="shared" si="250"/>
        <v>37.732444444444454</v>
      </c>
      <c r="R247" s="116"/>
    </row>
    <row r="248" spans="1:18" ht="18.899999999999999" customHeight="1" x14ac:dyDescent="0.3">
      <c r="A248" s="83" t="str">
        <f>IF(TRIM(H248)&lt;&gt;"",COUNTA(H$9:$H248)&amp;"","")</f>
        <v>167</v>
      </c>
      <c r="B248" s="84" t="s">
        <v>402</v>
      </c>
      <c r="C248" s="84"/>
      <c r="D248" s="84"/>
      <c r="E248" s="153" t="s">
        <v>339</v>
      </c>
      <c r="F248" s="87">
        <v>1</v>
      </c>
      <c r="H248" s="88" t="s">
        <v>181</v>
      </c>
      <c r="I248" s="89">
        <f t="shared" si="242"/>
        <v>0</v>
      </c>
      <c r="J248" s="90">
        <f t="shared" si="243"/>
        <v>1</v>
      </c>
      <c r="K248" s="91">
        <v>33.28</v>
      </c>
      <c r="L248" s="92">
        <f t="shared" si="245"/>
        <v>33.28</v>
      </c>
      <c r="M248" s="93">
        <f t="shared" si="246"/>
        <v>48.95</v>
      </c>
      <c r="N248" s="94">
        <v>0.23111111111111113</v>
      </c>
      <c r="O248" s="94">
        <f t="shared" si="248"/>
        <v>0.23111111111111113</v>
      </c>
      <c r="P248" s="92">
        <f t="shared" si="249"/>
        <v>11.312888888888891</v>
      </c>
      <c r="Q248" s="95">
        <f t="shared" si="250"/>
        <v>44.592888888888893</v>
      </c>
      <c r="R248" s="116"/>
    </row>
    <row r="249" spans="1:18" ht="18.899999999999999" customHeight="1" x14ac:dyDescent="0.3">
      <c r="A249" s="83" t="str">
        <f>IF(TRIM(H249)&lt;&gt;"",COUNTA(H$9:$H249)&amp;"","")</f>
        <v>168</v>
      </c>
      <c r="B249" s="84" t="s">
        <v>402</v>
      </c>
      <c r="C249" s="84"/>
      <c r="D249" s="84"/>
      <c r="E249" s="153" t="s">
        <v>340</v>
      </c>
      <c r="F249" s="87">
        <v>2</v>
      </c>
      <c r="H249" s="88" t="s">
        <v>181</v>
      </c>
      <c r="I249" s="89">
        <f t="shared" si="242"/>
        <v>0</v>
      </c>
      <c r="J249" s="90">
        <f t="shared" si="243"/>
        <v>2</v>
      </c>
      <c r="K249" s="91">
        <v>33.28</v>
      </c>
      <c r="L249" s="92">
        <f t="shared" si="245"/>
        <v>66.56</v>
      </c>
      <c r="M249" s="93">
        <f t="shared" si="246"/>
        <v>48.95</v>
      </c>
      <c r="N249" s="94">
        <v>0.23111111111111113</v>
      </c>
      <c r="O249" s="94">
        <f t="shared" si="248"/>
        <v>0.46222222222222226</v>
      </c>
      <c r="P249" s="92">
        <f t="shared" si="249"/>
        <v>22.625777777777781</v>
      </c>
      <c r="Q249" s="95">
        <f t="shared" si="250"/>
        <v>89.185777777777787</v>
      </c>
      <c r="R249" s="116"/>
    </row>
    <row r="250" spans="1:18" ht="18.899999999999999" customHeight="1" x14ac:dyDescent="0.3">
      <c r="A250" s="83" t="str">
        <f>IF(TRIM(H250)&lt;&gt;"",COUNTA(H$9:$H250)&amp;"","")</f>
        <v>169</v>
      </c>
      <c r="B250" s="84" t="s">
        <v>402</v>
      </c>
      <c r="C250" s="84"/>
      <c r="D250" s="84"/>
      <c r="E250" s="153" t="s">
        <v>341</v>
      </c>
      <c r="F250" s="87">
        <v>1</v>
      </c>
      <c r="H250" s="88" t="s">
        <v>181</v>
      </c>
      <c r="I250" s="89">
        <f t="shared" si="242"/>
        <v>0</v>
      </c>
      <c r="J250" s="90">
        <f t="shared" si="243"/>
        <v>1</v>
      </c>
      <c r="K250" s="91">
        <v>38.4</v>
      </c>
      <c r="L250" s="92">
        <f t="shared" si="245"/>
        <v>38.4</v>
      </c>
      <c r="M250" s="93">
        <f t="shared" si="246"/>
        <v>48.95</v>
      </c>
      <c r="N250" s="94">
        <v>0.26666666666666672</v>
      </c>
      <c r="O250" s="94">
        <f t="shared" si="248"/>
        <v>0.26666666666666672</v>
      </c>
      <c r="P250" s="92">
        <f t="shared" si="249"/>
        <v>13.053333333333336</v>
      </c>
      <c r="Q250" s="95">
        <f t="shared" si="250"/>
        <v>51.453333333333333</v>
      </c>
      <c r="R250" s="116"/>
    </row>
    <row r="251" spans="1:18" ht="18.899999999999999" customHeight="1" x14ac:dyDescent="0.3">
      <c r="A251" s="83" t="str">
        <f>IF(TRIM(H251)&lt;&gt;"",COUNTA(H$9:$H251)&amp;"","")</f>
        <v>170</v>
      </c>
      <c r="B251" s="84" t="s">
        <v>402</v>
      </c>
      <c r="C251" s="84"/>
      <c r="D251" s="84"/>
      <c r="E251" s="153" t="s">
        <v>342</v>
      </c>
      <c r="F251" s="87">
        <v>1</v>
      </c>
      <c r="H251" s="88" t="s">
        <v>181</v>
      </c>
      <c r="I251" s="89">
        <f t="shared" si="242"/>
        <v>0</v>
      </c>
      <c r="J251" s="90">
        <f t="shared" si="243"/>
        <v>1</v>
      </c>
      <c r="K251" s="91">
        <v>46.08</v>
      </c>
      <c r="L251" s="92">
        <f t="shared" si="245"/>
        <v>46.08</v>
      </c>
      <c r="M251" s="93">
        <f t="shared" si="246"/>
        <v>48.95</v>
      </c>
      <c r="N251" s="94">
        <v>0.32000000000000006</v>
      </c>
      <c r="O251" s="94">
        <f t="shared" si="248"/>
        <v>0.32000000000000006</v>
      </c>
      <c r="P251" s="92">
        <f t="shared" si="249"/>
        <v>15.664000000000003</v>
      </c>
      <c r="Q251" s="95">
        <f t="shared" si="250"/>
        <v>61.744</v>
      </c>
      <c r="R251" s="116"/>
    </row>
    <row r="252" spans="1:18" ht="18.899999999999999" customHeight="1" x14ac:dyDescent="0.3">
      <c r="A252" s="83" t="str">
        <f>IF(TRIM(H252)&lt;&gt;"",COUNTA(H$9:$H252)&amp;"","")</f>
        <v>171</v>
      </c>
      <c r="B252" s="84" t="s">
        <v>402</v>
      </c>
      <c r="C252" s="84"/>
      <c r="D252" s="84"/>
      <c r="E252" s="153" t="s">
        <v>343</v>
      </c>
      <c r="F252" s="87">
        <v>1</v>
      </c>
      <c r="H252" s="88" t="s">
        <v>181</v>
      </c>
      <c r="I252" s="89">
        <f t="shared" si="242"/>
        <v>0</v>
      </c>
      <c r="J252" s="90">
        <f t="shared" si="243"/>
        <v>1</v>
      </c>
      <c r="K252" s="91">
        <v>46.08</v>
      </c>
      <c r="L252" s="92">
        <f t="shared" si="245"/>
        <v>46.08</v>
      </c>
      <c r="M252" s="93">
        <f t="shared" si="246"/>
        <v>48.95</v>
      </c>
      <c r="N252" s="94">
        <v>0.32000000000000006</v>
      </c>
      <c r="O252" s="94">
        <f t="shared" si="248"/>
        <v>0.32000000000000006</v>
      </c>
      <c r="P252" s="92">
        <f t="shared" si="249"/>
        <v>15.664000000000003</v>
      </c>
      <c r="Q252" s="95">
        <f t="shared" si="250"/>
        <v>61.744</v>
      </c>
      <c r="R252" s="116"/>
    </row>
    <row r="253" spans="1:18" ht="18.899999999999999" customHeight="1" x14ac:dyDescent="0.3">
      <c r="A253" s="83" t="str">
        <f>IF(TRIM(H253)&lt;&gt;"",COUNTA(H$9:$H253)&amp;"","")</f>
        <v>172</v>
      </c>
      <c r="B253" s="84" t="s">
        <v>402</v>
      </c>
      <c r="C253" s="84"/>
      <c r="D253" s="84"/>
      <c r="E253" s="153" t="s">
        <v>344</v>
      </c>
      <c r="F253" s="87">
        <v>1</v>
      </c>
      <c r="H253" s="88" t="s">
        <v>181</v>
      </c>
      <c r="I253" s="89">
        <f t="shared" si="242"/>
        <v>0</v>
      </c>
      <c r="J253" s="90">
        <f t="shared" si="243"/>
        <v>1</v>
      </c>
      <c r="K253" s="91">
        <v>43.52</v>
      </c>
      <c r="L253" s="92">
        <f t="shared" si="245"/>
        <v>43.52</v>
      </c>
      <c r="M253" s="93">
        <f t="shared" si="246"/>
        <v>48.95</v>
      </c>
      <c r="N253" s="94">
        <v>0.30222222222222228</v>
      </c>
      <c r="O253" s="94">
        <f t="shared" si="248"/>
        <v>0.30222222222222228</v>
      </c>
      <c r="P253" s="92">
        <f t="shared" si="249"/>
        <v>14.793777777777782</v>
      </c>
      <c r="Q253" s="95">
        <f t="shared" si="250"/>
        <v>58.313777777777787</v>
      </c>
      <c r="R253" s="116"/>
    </row>
    <row r="254" spans="1:18" ht="18.899999999999999" customHeight="1" x14ac:dyDescent="0.3">
      <c r="A254" s="83" t="str">
        <f>IF(TRIM(H254)&lt;&gt;"",COUNTA(H$9:$H254)&amp;"","")</f>
        <v>173</v>
      </c>
      <c r="B254" s="84" t="s">
        <v>402</v>
      </c>
      <c r="C254" s="84"/>
      <c r="D254" s="84"/>
      <c r="E254" s="153" t="s">
        <v>345</v>
      </c>
      <c r="F254" s="87">
        <v>2</v>
      </c>
      <c r="H254" s="88" t="s">
        <v>181</v>
      </c>
      <c r="I254" s="89">
        <f t="shared" si="242"/>
        <v>0</v>
      </c>
      <c r="J254" s="90">
        <f t="shared" si="243"/>
        <v>2</v>
      </c>
      <c r="K254" s="91">
        <v>43.52</v>
      </c>
      <c r="L254" s="92">
        <f t="shared" si="245"/>
        <v>87.04</v>
      </c>
      <c r="M254" s="93">
        <f t="shared" si="246"/>
        <v>48.95</v>
      </c>
      <c r="N254" s="94">
        <v>0.30222222222222228</v>
      </c>
      <c r="O254" s="94">
        <f t="shared" si="248"/>
        <v>0.60444444444444456</v>
      </c>
      <c r="P254" s="92">
        <f t="shared" si="249"/>
        <v>29.587555555555564</v>
      </c>
      <c r="Q254" s="95">
        <f t="shared" si="250"/>
        <v>116.62755555555557</v>
      </c>
      <c r="R254" s="116"/>
    </row>
    <row r="255" spans="1:18" ht="18.899999999999999" customHeight="1" x14ac:dyDescent="0.3">
      <c r="A255" s="83" t="str">
        <f>IF(TRIM(H255)&lt;&gt;"",COUNTA(H$9:$H255)&amp;"","")</f>
        <v>174</v>
      </c>
      <c r="B255" s="84" t="s">
        <v>402</v>
      </c>
      <c r="C255" s="84"/>
      <c r="D255" s="84"/>
      <c r="E255" s="153" t="s">
        <v>346</v>
      </c>
      <c r="F255" s="87">
        <v>1</v>
      </c>
      <c r="H255" s="88" t="s">
        <v>181</v>
      </c>
      <c r="I255" s="89">
        <f t="shared" si="242"/>
        <v>0</v>
      </c>
      <c r="J255" s="90">
        <f t="shared" si="243"/>
        <v>1</v>
      </c>
      <c r="K255" s="91">
        <v>46.08</v>
      </c>
      <c r="L255" s="92">
        <f t="shared" si="245"/>
        <v>46.08</v>
      </c>
      <c r="M255" s="93">
        <f t="shared" si="246"/>
        <v>48.95</v>
      </c>
      <c r="N255" s="94">
        <v>0.32000000000000006</v>
      </c>
      <c r="O255" s="94">
        <f t="shared" si="248"/>
        <v>0.32000000000000006</v>
      </c>
      <c r="P255" s="92">
        <f t="shared" si="249"/>
        <v>15.664000000000003</v>
      </c>
      <c r="Q255" s="95">
        <f t="shared" si="250"/>
        <v>61.744</v>
      </c>
      <c r="R255" s="116"/>
    </row>
    <row r="256" spans="1:18" ht="27.6" x14ac:dyDescent="0.3">
      <c r="A256" s="83" t="str">
        <f>IF(TRIM(H256)&lt;&gt;"",COUNTA(H$9:$H256)&amp;"","")</f>
        <v>175</v>
      </c>
      <c r="B256" s="84" t="s">
        <v>402</v>
      </c>
      <c r="C256" s="84"/>
      <c r="D256" s="84"/>
      <c r="E256" s="86" t="s">
        <v>347</v>
      </c>
      <c r="F256" s="87">
        <v>6</v>
      </c>
      <c r="H256" s="88" t="s">
        <v>181</v>
      </c>
      <c r="I256" s="89">
        <f t="shared" si="242"/>
        <v>0</v>
      </c>
      <c r="J256" s="90">
        <f t="shared" si="243"/>
        <v>6</v>
      </c>
      <c r="K256" s="91">
        <v>89.6</v>
      </c>
      <c r="L256" s="92">
        <f t="shared" si="245"/>
        <v>537.59999999999991</v>
      </c>
      <c r="M256" s="93">
        <f t="shared" si="246"/>
        <v>48.95</v>
      </c>
      <c r="N256" s="94">
        <v>0.62222222222222223</v>
      </c>
      <c r="O256" s="94">
        <f t="shared" si="248"/>
        <v>3.7333333333333334</v>
      </c>
      <c r="P256" s="92">
        <f t="shared" si="249"/>
        <v>182.74666666666667</v>
      </c>
      <c r="Q256" s="95">
        <f t="shared" si="250"/>
        <v>720.34666666666658</v>
      </c>
      <c r="R256" s="116"/>
    </row>
    <row r="257" spans="1:18" ht="27.6" x14ac:dyDescent="0.3">
      <c r="A257" s="83" t="str">
        <f>IF(TRIM(H257)&lt;&gt;"",COUNTA(H$9:$H257)&amp;"","")</f>
        <v>176</v>
      </c>
      <c r="B257" s="84" t="s">
        <v>402</v>
      </c>
      <c r="C257" s="84"/>
      <c r="D257" s="84"/>
      <c r="E257" s="97" t="s">
        <v>348</v>
      </c>
      <c r="F257" s="87">
        <v>5</v>
      </c>
      <c r="H257" s="88" t="s">
        <v>181</v>
      </c>
      <c r="I257" s="89">
        <f t="shared" si="242"/>
        <v>0</v>
      </c>
      <c r="J257" s="90">
        <f t="shared" si="243"/>
        <v>5</v>
      </c>
      <c r="K257" s="91">
        <v>100.8</v>
      </c>
      <c r="L257" s="92">
        <f t="shared" si="245"/>
        <v>504</v>
      </c>
      <c r="M257" s="93">
        <f t="shared" si="246"/>
        <v>48.95</v>
      </c>
      <c r="N257" s="94">
        <v>0.70000000000000007</v>
      </c>
      <c r="O257" s="94">
        <f t="shared" si="248"/>
        <v>3.5000000000000004</v>
      </c>
      <c r="P257" s="92">
        <f t="shared" si="249"/>
        <v>171.32500000000005</v>
      </c>
      <c r="Q257" s="95">
        <f t="shared" si="250"/>
        <v>675.32500000000005</v>
      </c>
      <c r="R257" s="116"/>
    </row>
    <row r="258" spans="1:18" ht="27.6" x14ac:dyDescent="0.3">
      <c r="A258" s="83" t="str">
        <f>IF(TRIM(H258)&lt;&gt;"",COUNTA(H$9:$H258)&amp;"","")</f>
        <v>177</v>
      </c>
      <c r="B258" s="84" t="s">
        <v>402</v>
      </c>
      <c r="C258" s="84"/>
      <c r="D258" s="84"/>
      <c r="E258" s="97" t="s">
        <v>349</v>
      </c>
      <c r="F258" s="87">
        <v>2</v>
      </c>
      <c r="H258" s="88" t="s">
        <v>181</v>
      </c>
      <c r="I258" s="89">
        <f t="shared" si="242"/>
        <v>0</v>
      </c>
      <c r="J258" s="90">
        <f t="shared" si="243"/>
        <v>2</v>
      </c>
      <c r="K258" s="91">
        <v>134.4</v>
      </c>
      <c r="L258" s="92">
        <f t="shared" si="245"/>
        <v>268.8</v>
      </c>
      <c r="M258" s="93">
        <f t="shared" si="246"/>
        <v>48.95</v>
      </c>
      <c r="N258" s="94">
        <v>0.93333333333333335</v>
      </c>
      <c r="O258" s="94">
        <f t="shared" si="248"/>
        <v>1.8666666666666667</v>
      </c>
      <c r="P258" s="92">
        <f t="shared" si="249"/>
        <v>91.373333333333335</v>
      </c>
      <c r="Q258" s="95">
        <f t="shared" si="250"/>
        <v>360.17333333333335</v>
      </c>
      <c r="R258" s="116"/>
    </row>
    <row r="259" spans="1:18" ht="27.6" x14ac:dyDescent="0.3">
      <c r="A259" s="83" t="str">
        <f>IF(TRIM(H259)&lt;&gt;"",COUNTA(H$9:$H259)&amp;"","")</f>
        <v>178</v>
      </c>
      <c r="B259" s="84" t="s">
        <v>402</v>
      </c>
      <c r="C259" s="84"/>
      <c r="D259" s="84"/>
      <c r="E259" s="86" t="s">
        <v>350</v>
      </c>
      <c r="F259" s="87">
        <v>1</v>
      </c>
      <c r="H259" s="88" t="s">
        <v>181</v>
      </c>
      <c r="I259" s="89">
        <f t="shared" si="242"/>
        <v>0</v>
      </c>
      <c r="J259" s="90">
        <f t="shared" si="243"/>
        <v>1</v>
      </c>
      <c r="K259" s="91">
        <v>123.2</v>
      </c>
      <c r="L259" s="92">
        <f t="shared" si="245"/>
        <v>123.2</v>
      </c>
      <c r="M259" s="93">
        <f t="shared" si="246"/>
        <v>48.95</v>
      </c>
      <c r="N259" s="94">
        <v>0.85555555555555562</v>
      </c>
      <c r="O259" s="94">
        <f t="shared" si="248"/>
        <v>0.85555555555555562</v>
      </c>
      <c r="P259" s="92">
        <f t="shared" si="249"/>
        <v>41.879444444444452</v>
      </c>
      <c r="Q259" s="95">
        <f t="shared" si="250"/>
        <v>165.07944444444445</v>
      </c>
      <c r="R259" s="116"/>
    </row>
    <row r="260" spans="1:18" ht="18.899999999999999" customHeight="1" x14ac:dyDescent="0.3">
      <c r="A260" s="83" t="str">
        <f>IF(TRIM(H260)&lt;&gt;"",COUNTA(H$9:$H260)&amp;"","")</f>
        <v>179</v>
      </c>
      <c r="B260" s="84" t="s">
        <v>402</v>
      </c>
      <c r="C260" s="84"/>
      <c r="D260" s="84"/>
      <c r="E260" s="153" t="s">
        <v>351</v>
      </c>
      <c r="F260" s="87">
        <v>1</v>
      </c>
      <c r="H260" s="88" t="s">
        <v>181</v>
      </c>
      <c r="I260" s="89">
        <f t="shared" si="242"/>
        <v>0</v>
      </c>
      <c r="J260" s="90">
        <f t="shared" si="243"/>
        <v>1</v>
      </c>
      <c r="K260" s="91">
        <v>252</v>
      </c>
      <c r="L260" s="92">
        <f t="shared" si="245"/>
        <v>252</v>
      </c>
      <c r="M260" s="93">
        <f t="shared" si="246"/>
        <v>48.95</v>
      </c>
      <c r="N260" s="94">
        <v>1.75</v>
      </c>
      <c r="O260" s="94">
        <f t="shared" si="248"/>
        <v>1.75</v>
      </c>
      <c r="P260" s="92">
        <f t="shared" si="249"/>
        <v>85.662500000000009</v>
      </c>
      <c r="Q260" s="95">
        <f t="shared" si="250"/>
        <v>337.66250000000002</v>
      </c>
      <c r="R260" s="116"/>
    </row>
    <row r="261" spans="1:18" ht="18.899999999999999" customHeight="1" x14ac:dyDescent="0.3">
      <c r="A261" s="83" t="str">
        <f>IF(TRIM(H261)&lt;&gt;"",COUNTA(H$9:$H261)&amp;"","")</f>
        <v>180</v>
      </c>
      <c r="B261" s="84" t="s">
        <v>402</v>
      </c>
      <c r="C261" s="84"/>
      <c r="D261" s="84"/>
      <c r="E261" s="153" t="s">
        <v>352</v>
      </c>
      <c r="F261" s="87">
        <v>2</v>
      </c>
      <c r="H261" s="88" t="s">
        <v>181</v>
      </c>
      <c r="I261" s="89">
        <f t="shared" si="242"/>
        <v>0</v>
      </c>
      <c r="J261" s="90">
        <f t="shared" si="243"/>
        <v>2</v>
      </c>
      <c r="K261" s="91">
        <v>44.8</v>
      </c>
      <c r="L261" s="92">
        <f t="shared" si="245"/>
        <v>89.6</v>
      </c>
      <c r="M261" s="93">
        <f t="shared" si="246"/>
        <v>48.95</v>
      </c>
      <c r="N261" s="94">
        <v>0.31111111111111112</v>
      </c>
      <c r="O261" s="94">
        <f t="shared" si="248"/>
        <v>0.62222222222222223</v>
      </c>
      <c r="P261" s="92">
        <f t="shared" si="249"/>
        <v>30.457777777777778</v>
      </c>
      <c r="Q261" s="95">
        <f t="shared" si="250"/>
        <v>120.05777777777777</v>
      </c>
      <c r="R261" s="116"/>
    </row>
    <row r="262" spans="1:18" ht="18.899999999999999" customHeight="1" x14ac:dyDescent="0.3">
      <c r="A262" s="83" t="str">
        <f>IF(TRIM(H262)&lt;&gt;"",COUNTA(H$9:$H262)&amp;"","")</f>
        <v>181</v>
      </c>
      <c r="B262" s="84" t="s">
        <v>402</v>
      </c>
      <c r="C262" s="84"/>
      <c r="D262" s="84"/>
      <c r="E262" s="153" t="s">
        <v>353</v>
      </c>
      <c r="F262" s="87">
        <v>1</v>
      </c>
      <c r="H262" s="88" t="s">
        <v>181</v>
      </c>
      <c r="I262" s="89">
        <f t="shared" si="242"/>
        <v>0</v>
      </c>
      <c r="J262" s="90">
        <f t="shared" si="243"/>
        <v>1</v>
      </c>
      <c r="K262" s="91">
        <v>46.08</v>
      </c>
      <c r="L262" s="92">
        <f t="shared" si="245"/>
        <v>46.08</v>
      </c>
      <c r="M262" s="93">
        <f t="shared" si="246"/>
        <v>48.95</v>
      </c>
      <c r="N262" s="94">
        <v>0.32000000000000006</v>
      </c>
      <c r="O262" s="94">
        <f t="shared" si="248"/>
        <v>0.32000000000000006</v>
      </c>
      <c r="P262" s="92">
        <f t="shared" si="249"/>
        <v>15.664000000000003</v>
      </c>
      <c r="Q262" s="95">
        <f t="shared" si="250"/>
        <v>61.744</v>
      </c>
      <c r="R262" s="116"/>
    </row>
    <row r="263" spans="1:18" x14ac:dyDescent="0.3">
      <c r="A263" s="83" t="str">
        <f>IF(TRIM(H263)&lt;&gt;"",COUNTA(H$9:$H263)&amp;"","")</f>
        <v/>
      </c>
      <c r="B263" s="84"/>
      <c r="C263" s="84"/>
      <c r="D263" s="85"/>
      <c r="E263" s="97"/>
      <c r="F263" s="87"/>
      <c r="H263" s="88"/>
      <c r="I263" s="89" t="str">
        <f t="shared" si="242"/>
        <v/>
      </c>
      <c r="J263" s="90" t="str">
        <f t="shared" si="243"/>
        <v/>
      </c>
      <c r="K263" s="91" t="s">
        <v>407</v>
      </c>
      <c r="L263" s="92" t="str">
        <f t="shared" si="245"/>
        <v/>
      </c>
      <c r="M263" s="93" t="str">
        <f t="shared" si="246"/>
        <v/>
      </c>
      <c r="N263" s="94" t="s">
        <v>407</v>
      </c>
      <c r="O263" s="94" t="str">
        <f t="shared" si="248"/>
        <v/>
      </c>
      <c r="P263" s="92" t="str">
        <f t="shared" si="249"/>
        <v/>
      </c>
      <c r="Q263" s="95" t="str">
        <f t="shared" si="250"/>
        <v/>
      </c>
      <c r="R263" s="116"/>
    </row>
    <row r="264" spans="1:18" ht="15.6" x14ac:dyDescent="0.3">
      <c r="A264" s="83" t="str">
        <f>IF(TRIM(H264)&lt;&gt;"",COUNTA(H$9:$H264)&amp;"","")</f>
        <v/>
      </c>
      <c r="B264" s="84"/>
      <c r="C264" s="84"/>
      <c r="D264" s="85"/>
      <c r="E264" s="160" t="s">
        <v>151</v>
      </c>
      <c r="F264" s="87"/>
      <c r="H264" s="88"/>
      <c r="I264" s="89" t="str">
        <f>IF(F264=0,"",0)</f>
        <v/>
      </c>
      <c r="J264" s="90" t="str">
        <f>IF(F264=0,"",F264+(F264*I264))</f>
        <v/>
      </c>
      <c r="K264" s="91" t="s">
        <v>407</v>
      </c>
      <c r="L264" s="92" t="str">
        <f>IF(F264=0,"",K264*J264)</f>
        <v/>
      </c>
      <c r="M264" s="93" t="str">
        <f t="shared" si="246"/>
        <v/>
      </c>
      <c r="N264" s="94" t="s">
        <v>407</v>
      </c>
      <c r="O264" s="94" t="str">
        <f>IF(F264=0,"",N264*J264)</f>
        <v/>
      </c>
      <c r="P264" s="92" t="str">
        <f>IF(F264=0,"",O264*M264)</f>
        <v/>
      </c>
      <c r="Q264" s="95" t="str">
        <f>IF(F264=0,"",L264+P264)</f>
        <v/>
      </c>
      <c r="R264" s="116"/>
    </row>
    <row r="265" spans="1:18" ht="18.899999999999999" customHeight="1" x14ac:dyDescent="0.3">
      <c r="A265" s="83" t="str">
        <f>IF(TRIM(H265)&lt;&gt;"",COUNTA(H$9:$H265)&amp;"","")</f>
        <v>182</v>
      </c>
      <c r="B265" s="84" t="s">
        <v>402</v>
      </c>
      <c r="C265" s="84"/>
      <c r="D265" s="85"/>
      <c r="E265" s="153" t="s">
        <v>417</v>
      </c>
      <c r="F265" s="87">
        <v>716</v>
      </c>
      <c r="H265" s="88" t="s">
        <v>159</v>
      </c>
      <c r="I265" s="89">
        <v>0.15</v>
      </c>
      <c r="J265" s="90">
        <f t="shared" ref="J265:J266" si="251">IF(F265=0,"",F265+(F265*I265))</f>
        <v>823.4</v>
      </c>
      <c r="K265" s="91">
        <v>2.6099999999999994</v>
      </c>
      <c r="L265" s="92">
        <f t="shared" ref="L265:L266" si="252">IF(F265=0,"",K265*J265)</f>
        <v>2149.0739999999996</v>
      </c>
      <c r="M265" s="93">
        <f t="shared" si="246"/>
        <v>48.95</v>
      </c>
      <c r="N265" s="94">
        <v>4.8333333333333332E-2</v>
      </c>
      <c r="O265" s="94">
        <f t="shared" ref="O265:O266" si="253">IF(F265=0,"",N265*J265)</f>
        <v>39.797666666666665</v>
      </c>
      <c r="P265" s="92">
        <f t="shared" ref="P265:P266" si="254">IF(F265=0,"",O265*M265)</f>
        <v>1948.0957833333334</v>
      </c>
      <c r="Q265" s="95">
        <f t="shared" ref="Q265:Q266" si="255">IF(F265=0,"",L265+P265)</f>
        <v>4097.1697833333328</v>
      </c>
      <c r="R265" s="116"/>
    </row>
    <row r="266" spans="1:18" ht="18.899999999999999" customHeight="1" x14ac:dyDescent="0.3">
      <c r="A266" s="83" t="str">
        <f>IF(TRIM(H266)&lt;&gt;"",COUNTA(H$9:$H266)&amp;"","")</f>
        <v>183</v>
      </c>
      <c r="B266" s="84" t="s">
        <v>402</v>
      </c>
      <c r="C266" s="84"/>
      <c r="D266" s="85"/>
      <c r="E266" s="97" t="s">
        <v>354</v>
      </c>
      <c r="F266" s="87">
        <v>186</v>
      </c>
      <c r="H266" s="88" t="s">
        <v>159</v>
      </c>
      <c r="I266" s="89">
        <v>0.15</v>
      </c>
      <c r="J266" s="90">
        <f t="shared" si="251"/>
        <v>213.9</v>
      </c>
      <c r="K266" s="91">
        <v>2.4</v>
      </c>
      <c r="L266" s="92">
        <f t="shared" si="252"/>
        <v>513.36</v>
      </c>
      <c r="M266" s="93">
        <f t="shared" si="246"/>
        <v>48.95</v>
      </c>
      <c r="N266" s="94">
        <v>4.4444444444444446E-2</v>
      </c>
      <c r="O266" s="94">
        <f t="shared" si="253"/>
        <v>9.5066666666666677</v>
      </c>
      <c r="P266" s="92">
        <f t="shared" si="254"/>
        <v>465.3513333333334</v>
      </c>
      <c r="Q266" s="95">
        <f t="shared" si="255"/>
        <v>978.71133333333341</v>
      </c>
      <c r="R266" s="116"/>
    </row>
    <row r="267" spans="1:18" x14ac:dyDescent="0.3">
      <c r="A267" s="83" t="str">
        <f>IF(TRIM(H267)&lt;&gt;"",COUNTA(H$9:$H267)&amp;"","")</f>
        <v/>
      </c>
      <c r="B267" s="84"/>
      <c r="C267" s="84"/>
      <c r="D267" s="85"/>
      <c r="E267" s="154"/>
      <c r="F267" s="87"/>
      <c r="H267" s="88"/>
      <c r="I267" s="89" t="str">
        <f>IF(F267=0,"",0)</f>
        <v/>
      </c>
      <c r="J267" s="90" t="str">
        <f>IF(F267=0,"",F267+(F267*I267))</f>
        <v/>
      </c>
      <c r="K267" s="91" t="s">
        <v>407</v>
      </c>
      <c r="L267" s="92" t="str">
        <f>IF(F267=0,"",K267*J267)</f>
        <v/>
      </c>
      <c r="M267" s="93" t="str">
        <f t="shared" si="246"/>
        <v/>
      </c>
      <c r="N267" s="94" t="s">
        <v>407</v>
      </c>
      <c r="O267" s="94" t="str">
        <f>IF(F267=0,"",N267*J267)</f>
        <v/>
      </c>
      <c r="P267" s="92" t="str">
        <f>IF(F267=0,"",O267*M267)</f>
        <v/>
      </c>
      <c r="Q267" s="95" t="str">
        <f>IF(F267=0,"",L267+P267)</f>
        <v/>
      </c>
      <c r="R267" s="116"/>
    </row>
    <row r="268" spans="1:18" ht="15.6" x14ac:dyDescent="0.3">
      <c r="A268" s="83" t="str">
        <f>IF(TRIM(H268)&lt;&gt;"",COUNTA(H$9:$H268)&amp;"","")</f>
        <v/>
      </c>
      <c r="B268" s="84"/>
      <c r="C268" s="84"/>
      <c r="D268" s="85"/>
      <c r="E268" s="160" t="s">
        <v>355</v>
      </c>
      <c r="F268" s="87"/>
      <c r="H268" s="88"/>
      <c r="I268" s="89" t="str">
        <f>IF(F268=0,"",0)</f>
        <v/>
      </c>
      <c r="J268" s="90" t="str">
        <f>IF(F268=0,"",F268+(F268*I268))</f>
        <v/>
      </c>
      <c r="K268" s="91" t="s">
        <v>407</v>
      </c>
      <c r="L268" s="92" t="str">
        <f>IF(F268=0,"",K268*J268)</f>
        <v/>
      </c>
      <c r="M268" s="93" t="str">
        <f t="shared" si="246"/>
        <v/>
      </c>
      <c r="N268" s="94" t="s">
        <v>407</v>
      </c>
      <c r="O268" s="94" t="str">
        <f>IF(F268=0,"",N268*J268)</f>
        <v/>
      </c>
      <c r="P268" s="92" t="str">
        <f>IF(F268=0,"",O268*M268)</f>
        <v/>
      </c>
      <c r="Q268" s="95" t="str">
        <f>IF(F268=0,"",L268+P268)</f>
        <v/>
      </c>
      <c r="R268" s="116"/>
    </row>
    <row r="269" spans="1:18" ht="18.899999999999999" customHeight="1" x14ac:dyDescent="0.3">
      <c r="A269" s="83" t="str">
        <f>IF(TRIM(H269)&lt;&gt;"",COUNTA(H$9:$H269)&amp;"","")</f>
        <v>184</v>
      </c>
      <c r="B269" s="84" t="s">
        <v>402</v>
      </c>
      <c r="C269" s="84"/>
      <c r="D269" s="85"/>
      <c r="E269" s="153" t="s">
        <v>356</v>
      </c>
      <c r="F269" s="87">
        <v>648</v>
      </c>
      <c r="H269" s="88" t="s">
        <v>406</v>
      </c>
      <c r="I269" s="89">
        <v>0.15</v>
      </c>
      <c r="J269" s="90">
        <f t="shared" ref="J269" si="256">IF(F269=0,"",F269+(F269*I269))</f>
        <v>745.2</v>
      </c>
      <c r="K269" s="91">
        <v>2.7</v>
      </c>
      <c r="L269" s="92">
        <f t="shared" ref="L269" si="257">IF(F269=0,"",K269*J269)</f>
        <v>2012.0400000000002</v>
      </c>
      <c r="M269" s="93">
        <f t="shared" si="246"/>
        <v>48.95</v>
      </c>
      <c r="N269" s="94">
        <v>0.05</v>
      </c>
      <c r="O269" s="94">
        <f t="shared" ref="O269" si="258">IF(F269=0,"",N269*J269)</f>
        <v>37.260000000000005</v>
      </c>
      <c r="P269" s="92">
        <f t="shared" ref="P269" si="259">IF(F269=0,"",O269*M269)</f>
        <v>1823.8770000000004</v>
      </c>
      <c r="Q269" s="95">
        <f t="shared" ref="Q269" si="260">IF(F269=0,"",L269+P269)</f>
        <v>3835.9170000000004</v>
      </c>
      <c r="R269" s="116"/>
    </row>
    <row r="270" spans="1:18" x14ac:dyDescent="0.3">
      <c r="A270" s="83" t="str">
        <f>IF(TRIM(H270)&lt;&gt;"",COUNTA(H$9:$H270)&amp;"","")</f>
        <v/>
      </c>
      <c r="B270" s="84"/>
      <c r="C270" s="84"/>
      <c r="D270" s="85"/>
      <c r="E270" s="154"/>
      <c r="F270" s="87"/>
      <c r="H270" s="88"/>
      <c r="I270" s="89" t="str">
        <f>IF(F270=0,"",0)</f>
        <v/>
      </c>
      <c r="J270" s="90" t="str">
        <f>IF(F270=0,"",F270+(F270*I270))</f>
        <v/>
      </c>
      <c r="K270" s="91" t="s">
        <v>407</v>
      </c>
      <c r="L270" s="92" t="str">
        <f>IF(F270=0,"",K270*J270)</f>
        <v/>
      </c>
      <c r="M270" s="93" t="str">
        <f t="shared" si="246"/>
        <v/>
      </c>
      <c r="N270" s="94" t="s">
        <v>407</v>
      </c>
      <c r="O270" s="94" t="str">
        <f>IF(F270=0,"",N270*J270)</f>
        <v/>
      </c>
      <c r="P270" s="92" t="str">
        <f>IF(F270=0,"",O270*M270)</f>
        <v/>
      </c>
      <c r="Q270" s="95" t="str">
        <f>IF(F270=0,"",L270+P270)</f>
        <v/>
      </c>
      <c r="R270" s="116"/>
    </row>
    <row r="271" spans="1:18" ht="15.6" x14ac:dyDescent="0.3">
      <c r="A271" s="83" t="str">
        <f>IF(TRIM(H271)&lt;&gt;"",COUNTA(H$9:$H271)&amp;"","")</f>
        <v/>
      </c>
      <c r="B271" s="84"/>
      <c r="C271" s="84"/>
      <c r="D271" s="85"/>
      <c r="E271" s="160" t="s">
        <v>357</v>
      </c>
      <c r="F271" s="87"/>
      <c r="H271" s="88"/>
      <c r="I271" s="89" t="str">
        <f t="shared" ref="I271:I280" si="261">IF(F271=0,"",0)</f>
        <v/>
      </c>
      <c r="J271" s="90" t="str">
        <f t="shared" ref="J271:J280" si="262">IF(F271=0,"",F271+(F271*I271))</f>
        <v/>
      </c>
      <c r="K271" s="91" t="s">
        <v>407</v>
      </c>
      <c r="L271" s="92" t="str">
        <f t="shared" ref="L271:L280" si="263">IF(F271=0,"",K271*J271)</f>
        <v/>
      </c>
      <c r="M271" s="93" t="str">
        <f t="shared" si="246"/>
        <v/>
      </c>
      <c r="N271" s="94" t="s">
        <v>407</v>
      </c>
      <c r="O271" s="94" t="str">
        <f t="shared" ref="O271:O280" si="264">IF(F271=0,"",N271*J271)</f>
        <v/>
      </c>
      <c r="P271" s="92" t="str">
        <f t="shared" ref="P271:P280" si="265">IF(F271=0,"",O271*M271)</f>
        <v/>
      </c>
      <c r="Q271" s="95" t="str">
        <f t="shared" ref="Q271:Q280" si="266">IF(F271=0,"",L271+P271)</f>
        <v/>
      </c>
      <c r="R271" s="116"/>
    </row>
    <row r="272" spans="1:18" ht="27.6" x14ac:dyDescent="0.3">
      <c r="A272" s="83" t="str">
        <f>IF(TRIM(H272)&lt;&gt;"",COUNTA(H$9:$H272)&amp;"","")</f>
        <v>185</v>
      </c>
      <c r="B272" s="84" t="s">
        <v>402</v>
      </c>
      <c r="C272" s="84"/>
      <c r="D272" s="85"/>
      <c r="E272" s="97" t="s">
        <v>358</v>
      </c>
      <c r="F272" s="87">
        <v>1</v>
      </c>
      <c r="H272" s="88" t="s">
        <v>181</v>
      </c>
      <c r="I272" s="89">
        <f t="shared" si="261"/>
        <v>0</v>
      </c>
      <c r="J272" s="90">
        <f t="shared" si="262"/>
        <v>1</v>
      </c>
      <c r="K272" s="91">
        <v>140</v>
      </c>
      <c r="L272" s="92">
        <f t="shared" si="263"/>
        <v>140</v>
      </c>
      <c r="M272" s="93">
        <f t="shared" si="246"/>
        <v>48.95</v>
      </c>
      <c r="N272" s="94">
        <v>0.97222222222222221</v>
      </c>
      <c r="O272" s="94">
        <f t="shared" si="264"/>
        <v>0.97222222222222221</v>
      </c>
      <c r="P272" s="92">
        <f t="shared" si="265"/>
        <v>47.590277777777779</v>
      </c>
      <c r="Q272" s="95">
        <f t="shared" si="266"/>
        <v>187.59027777777777</v>
      </c>
      <c r="R272" s="116"/>
    </row>
    <row r="273" spans="1:18" ht="27.6" x14ac:dyDescent="0.3">
      <c r="A273" s="83" t="str">
        <f>IF(TRIM(H273)&lt;&gt;"",COUNTA(H$9:$H273)&amp;"","")</f>
        <v>186</v>
      </c>
      <c r="B273" s="84" t="s">
        <v>402</v>
      </c>
      <c r="C273" s="84"/>
      <c r="D273" s="85"/>
      <c r="E273" s="97" t="s">
        <v>359</v>
      </c>
      <c r="F273" s="87">
        <v>2</v>
      </c>
      <c r="H273" s="88" t="s">
        <v>181</v>
      </c>
      <c r="I273" s="89">
        <f t="shared" si="261"/>
        <v>0</v>
      </c>
      <c r="J273" s="90">
        <f t="shared" si="262"/>
        <v>2</v>
      </c>
      <c r="K273" s="91">
        <v>140</v>
      </c>
      <c r="L273" s="92">
        <f t="shared" si="263"/>
        <v>280</v>
      </c>
      <c r="M273" s="93">
        <f t="shared" si="246"/>
        <v>48.95</v>
      </c>
      <c r="N273" s="94">
        <v>0.97222222222222221</v>
      </c>
      <c r="O273" s="94">
        <f t="shared" si="264"/>
        <v>1.9444444444444444</v>
      </c>
      <c r="P273" s="92">
        <f t="shared" si="265"/>
        <v>95.180555555555557</v>
      </c>
      <c r="Q273" s="95">
        <f t="shared" si="266"/>
        <v>375.18055555555554</v>
      </c>
      <c r="R273" s="116"/>
    </row>
    <row r="274" spans="1:18" x14ac:dyDescent="0.3">
      <c r="A274" s="83" t="str">
        <f>IF(TRIM(H274)&lt;&gt;"",COUNTA(H$9:$H274)&amp;"","")</f>
        <v>187</v>
      </c>
      <c r="B274" s="84" t="s">
        <v>402</v>
      </c>
      <c r="C274" s="84"/>
      <c r="D274" s="85"/>
      <c r="E274" s="86" t="s">
        <v>360</v>
      </c>
      <c r="F274" s="87">
        <v>1</v>
      </c>
      <c r="H274" s="88" t="s">
        <v>181</v>
      </c>
      <c r="I274" s="89">
        <f t="shared" si="261"/>
        <v>0</v>
      </c>
      <c r="J274" s="90">
        <f t="shared" si="262"/>
        <v>1</v>
      </c>
      <c r="K274" s="91">
        <v>132</v>
      </c>
      <c r="L274" s="92">
        <f t="shared" si="263"/>
        <v>132</v>
      </c>
      <c r="M274" s="93">
        <f t="shared" si="246"/>
        <v>48.95</v>
      </c>
      <c r="N274" s="94">
        <v>0.91666666666666663</v>
      </c>
      <c r="O274" s="94">
        <f t="shared" si="264"/>
        <v>0.91666666666666663</v>
      </c>
      <c r="P274" s="92">
        <f t="shared" si="265"/>
        <v>44.870833333333337</v>
      </c>
      <c r="Q274" s="95">
        <f t="shared" si="266"/>
        <v>176.87083333333334</v>
      </c>
      <c r="R274" s="116"/>
    </row>
    <row r="275" spans="1:18" ht="27.6" x14ac:dyDescent="0.3">
      <c r="A275" s="83" t="str">
        <f>IF(TRIM(H275)&lt;&gt;"",COUNTA(H$9:$H275)&amp;"","")</f>
        <v>188</v>
      </c>
      <c r="B275" s="84" t="s">
        <v>402</v>
      </c>
      <c r="C275" s="84"/>
      <c r="D275" s="85"/>
      <c r="E275" s="86" t="s">
        <v>418</v>
      </c>
      <c r="F275" s="87">
        <v>4</v>
      </c>
      <c r="H275" s="88" t="s">
        <v>181</v>
      </c>
      <c r="I275" s="89">
        <f t="shared" si="261"/>
        <v>0</v>
      </c>
      <c r="J275" s="90">
        <f t="shared" si="262"/>
        <v>4</v>
      </c>
      <c r="K275" s="91">
        <v>113.6</v>
      </c>
      <c r="L275" s="92">
        <f t="shared" si="263"/>
        <v>454.4</v>
      </c>
      <c r="M275" s="93">
        <f t="shared" si="246"/>
        <v>48.95</v>
      </c>
      <c r="N275" s="94">
        <v>0.78888888888888897</v>
      </c>
      <c r="O275" s="94">
        <f t="shared" si="264"/>
        <v>3.1555555555555559</v>
      </c>
      <c r="P275" s="92">
        <f t="shared" si="265"/>
        <v>154.46444444444447</v>
      </c>
      <c r="Q275" s="95">
        <f t="shared" si="266"/>
        <v>608.86444444444442</v>
      </c>
      <c r="R275" s="116"/>
    </row>
    <row r="276" spans="1:18" ht="27.6" x14ac:dyDescent="0.3">
      <c r="A276" s="83" t="str">
        <f>IF(TRIM(H276)&lt;&gt;"",COUNTA(H$9:$H276)&amp;"","")</f>
        <v>189</v>
      </c>
      <c r="B276" s="84" t="s">
        <v>402</v>
      </c>
      <c r="C276" s="84"/>
      <c r="D276" s="85"/>
      <c r="E276" s="86" t="s">
        <v>419</v>
      </c>
      <c r="F276" s="87">
        <v>2</v>
      </c>
      <c r="H276" s="88" t="s">
        <v>181</v>
      </c>
      <c r="I276" s="89">
        <f t="shared" si="261"/>
        <v>0</v>
      </c>
      <c r="J276" s="90">
        <f t="shared" si="262"/>
        <v>2</v>
      </c>
      <c r="K276" s="91">
        <v>116</v>
      </c>
      <c r="L276" s="92">
        <f t="shared" si="263"/>
        <v>232</v>
      </c>
      <c r="M276" s="93">
        <f t="shared" si="246"/>
        <v>48.95</v>
      </c>
      <c r="N276" s="94">
        <v>0.80555555555555558</v>
      </c>
      <c r="O276" s="94">
        <f t="shared" si="264"/>
        <v>1.6111111111111112</v>
      </c>
      <c r="P276" s="92">
        <f t="shared" si="265"/>
        <v>78.863888888888894</v>
      </c>
      <c r="Q276" s="95">
        <f t="shared" si="266"/>
        <v>310.86388888888888</v>
      </c>
      <c r="R276" s="116"/>
    </row>
    <row r="277" spans="1:18" ht="27.6" x14ac:dyDescent="0.3">
      <c r="A277" s="83" t="str">
        <f>IF(TRIM(H277)&lt;&gt;"",COUNTA(H$9:$H277)&amp;"","")</f>
        <v>190</v>
      </c>
      <c r="B277" s="84" t="s">
        <v>402</v>
      </c>
      <c r="C277" s="84"/>
      <c r="D277" s="85"/>
      <c r="E277" s="97" t="s">
        <v>420</v>
      </c>
      <c r="F277" s="87">
        <v>1</v>
      </c>
      <c r="H277" s="88" t="s">
        <v>181</v>
      </c>
      <c r="I277" s="89">
        <f t="shared" si="261"/>
        <v>0</v>
      </c>
      <c r="J277" s="90">
        <f t="shared" si="262"/>
        <v>1</v>
      </c>
      <c r="K277" s="91">
        <v>116</v>
      </c>
      <c r="L277" s="92">
        <f t="shared" si="263"/>
        <v>116</v>
      </c>
      <c r="M277" s="93">
        <f t="shared" si="246"/>
        <v>48.95</v>
      </c>
      <c r="N277" s="94">
        <v>0.80555555555555558</v>
      </c>
      <c r="O277" s="94">
        <f t="shared" si="264"/>
        <v>0.80555555555555558</v>
      </c>
      <c r="P277" s="92">
        <f t="shared" si="265"/>
        <v>39.431944444444447</v>
      </c>
      <c r="Q277" s="95">
        <f t="shared" si="266"/>
        <v>155.43194444444444</v>
      </c>
      <c r="R277" s="116"/>
    </row>
    <row r="278" spans="1:18" ht="27.6" x14ac:dyDescent="0.3">
      <c r="A278" s="83" t="str">
        <f>IF(TRIM(H278)&lt;&gt;"",COUNTA(H$9:$H278)&amp;"","")</f>
        <v>191</v>
      </c>
      <c r="B278" s="84" t="s">
        <v>402</v>
      </c>
      <c r="C278" s="84"/>
      <c r="D278" s="85"/>
      <c r="E278" s="97" t="s">
        <v>421</v>
      </c>
      <c r="F278" s="87">
        <v>6</v>
      </c>
      <c r="H278" s="88" t="s">
        <v>181</v>
      </c>
      <c r="I278" s="89">
        <f t="shared" si="261"/>
        <v>0</v>
      </c>
      <c r="J278" s="90">
        <f t="shared" si="262"/>
        <v>6</v>
      </c>
      <c r="K278" s="91">
        <v>142.4</v>
      </c>
      <c r="L278" s="92">
        <f t="shared" si="263"/>
        <v>854.40000000000009</v>
      </c>
      <c r="M278" s="93">
        <f t="shared" si="246"/>
        <v>48.95</v>
      </c>
      <c r="N278" s="94">
        <v>0.98888888888888893</v>
      </c>
      <c r="O278" s="94">
        <f t="shared" si="264"/>
        <v>5.9333333333333336</v>
      </c>
      <c r="P278" s="92">
        <f t="shared" si="265"/>
        <v>290.43666666666667</v>
      </c>
      <c r="Q278" s="95">
        <f t="shared" si="266"/>
        <v>1144.8366666666668</v>
      </c>
      <c r="R278" s="116"/>
    </row>
    <row r="279" spans="1:18" x14ac:dyDescent="0.3">
      <c r="A279" s="83" t="str">
        <f>IF(TRIM(H279)&lt;&gt;"",COUNTA(H$9:$H279)&amp;"","")</f>
        <v/>
      </c>
      <c r="B279" s="84"/>
      <c r="C279" s="84"/>
      <c r="D279" s="85"/>
      <c r="E279" s="97"/>
      <c r="F279" s="87"/>
      <c r="H279" s="88"/>
      <c r="I279" s="89" t="str">
        <f t="shared" si="261"/>
        <v/>
      </c>
      <c r="J279" s="90" t="str">
        <f t="shared" si="262"/>
        <v/>
      </c>
      <c r="K279" s="91" t="s">
        <v>407</v>
      </c>
      <c r="L279" s="92" t="str">
        <f t="shared" si="263"/>
        <v/>
      </c>
      <c r="M279" s="93" t="str">
        <f t="shared" si="246"/>
        <v/>
      </c>
      <c r="N279" s="94" t="s">
        <v>407</v>
      </c>
      <c r="O279" s="94" t="str">
        <f t="shared" si="264"/>
        <v/>
      </c>
      <c r="P279" s="92" t="str">
        <f t="shared" si="265"/>
        <v/>
      </c>
      <c r="Q279" s="95" t="str">
        <f t="shared" si="266"/>
        <v/>
      </c>
      <c r="R279" s="116"/>
    </row>
    <row r="280" spans="1:18" ht="15.6" x14ac:dyDescent="0.3">
      <c r="A280" s="83" t="str">
        <f>IF(TRIM(H280)&lt;&gt;"",COUNTA(H$9:$H280)&amp;"","")</f>
        <v/>
      </c>
      <c r="B280" s="84"/>
      <c r="C280" s="84"/>
      <c r="D280" s="85"/>
      <c r="E280" s="160" t="s">
        <v>361</v>
      </c>
      <c r="F280" s="87"/>
      <c r="H280" s="88"/>
      <c r="I280" s="89" t="str">
        <f t="shared" si="261"/>
        <v/>
      </c>
      <c r="J280" s="90" t="str">
        <f t="shared" si="262"/>
        <v/>
      </c>
      <c r="K280" s="91" t="s">
        <v>407</v>
      </c>
      <c r="L280" s="92" t="str">
        <f t="shared" si="263"/>
        <v/>
      </c>
      <c r="M280" s="93" t="str">
        <f t="shared" si="246"/>
        <v/>
      </c>
      <c r="N280" s="94" t="s">
        <v>407</v>
      </c>
      <c r="O280" s="94" t="str">
        <f t="shared" si="264"/>
        <v/>
      </c>
      <c r="P280" s="92" t="str">
        <f t="shared" si="265"/>
        <v/>
      </c>
      <c r="Q280" s="95" t="str">
        <f t="shared" si="266"/>
        <v/>
      </c>
      <c r="R280" s="116"/>
    </row>
    <row r="281" spans="1:18" ht="27.6" x14ac:dyDescent="0.3">
      <c r="A281" s="83" t="str">
        <f>IF(TRIM(H281)&lt;&gt;"",COUNTA(H$9:$H281)&amp;"","")</f>
        <v>192</v>
      </c>
      <c r="B281" s="84" t="s">
        <v>402</v>
      </c>
      <c r="C281" s="84"/>
      <c r="D281" s="85"/>
      <c r="E281" s="97" t="s">
        <v>362</v>
      </c>
      <c r="F281" s="87">
        <v>2</v>
      </c>
      <c r="H281" s="88" t="s">
        <v>181</v>
      </c>
      <c r="I281" s="89">
        <f>IF(F281=0,"",0)</f>
        <v>0</v>
      </c>
      <c r="J281" s="90">
        <f>IF(F281=0,"",F281+(F281*I281))</f>
        <v>2</v>
      </c>
      <c r="K281" s="91">
        <v>124</v>
      </c>
      <c r="L281" s="92">
        <f>IF(F281=0,"",K281*J281)</f>
        <v>248</v>
      </c>
      <c r="M281" s="93">
        <f>IF(F281=0,"",M$7)</f>
        <v>48.95</v>
      </c>
      <c r="N281" s="94">
        <v>0.86111111111111116</v>
      </c>
      <c r="O281" s="94">
        <f>IF(F281=0,"",N281*J281)</f>
        <v>1.7222222222222223</v>
      </c>
      <c r="P281" s="92">
        <f>IF(F281=0,"",O281*M281)</f>
        <v>84.302777777777791</v>
      </c>
      <c r="Q281" s="95">
        <f>IF(F281=0,"",L281+P281)</f>
        <v>332.30277777777781</v>
      </c>
      <c r="R281" s="116"/>
    </row>
    <row r="282" spans="1:18" ht="18.899999999999999" customHeight="1" x14ac:dyDescent="0.3">
      <c r="A282" s="83" t="str">
        <f>IF(TRIM(H282)&lt;&gt;"",COUNTA(H$9:$H282)&amp;"","")</f>
        <v>193</v>
      </c>
      <c r="B282" s="84" t="s">
        <v>402</v>
      </c>
      <c r="C282" s="84"/>
      <c r="D282" s="85"/>
      <c r="E282" s="153" t="s">
        <v>363</v>
      </c>
      <c r="F282" s="87">
        <v>2</v>
      </c>
      <c r="H282" s="88" t="s">
        <v>181</v>
      </c>
      <c r="I282" s="89">
        <f>IF(F282=0,"",0)</f>
        <v>0</v>
      </c>
      <c r="J282" s="90">
        <f>IF(F282=0,"",F282+(F282*I282))</f>
        <v>2</v>
      </c>
      <c r="K282" s="91">
        <v>120</v>
      </c>
      <c r="L282" s="92">
        <f>IF(F282=0,"",K282*J282)</f>
        <v>240</v>
      </c>
      <c r="M282" s="93">
        <f>IF(F282=0,"",M$7)</f>
        <v>48.95</v>
      </c>
      <c r="N282" s="94">
        <v>0.83333333333333337</v>
      </c>
      <c r="O282" s="94">
        <f>IF(F282=0,"",N282*J282)</f>
        <v>1.6666666666666667</v>
      </c>
      <c r="P282" s="92">
        <f>IF(F282=0,"",O282*M282)</f>
        <v>81.583333333333343</v>
      </c>
      <c r="Q282" s="95">
        <f>IF(F282=0,"",L282+P282)</f>
        <v>321.58333333333337</v>
      </c>
      <c r="R282" s="116"/>
    </row>
    <row r="283" spans="1:18" ht="18.899999999999999" customHeight="1" x14ac:dyDescent="0.3">
      <c r="A283" s="83" t="str">
        <f>IF(TRIM(H283)&lt;&gt;"",COUNTA(H$9:$H283)&amp;"","")</f>
        <v>194</v>
      </c>
      <c r="B283" s="84" t="s">
        <v>402</v>
      </c>
      <c r="C283" s="151" t="s">
        <v>293</v>
      </c>
      <c r="D283" s="85"/>
      <c r="E283" s="97" t="s">
        <v>364</v>
      </c>
      <c r="F283" s="155">
        <v>40</v>
      </c>
      <c r="H283" s="88" t="s">
        <v>159</v>
      </c>
      <c r="I283" s="89">
        <v>0.1</v>
      </c>
      <c r="J283" s="90">
        <f t="shared" ref="J283:J285" si="267">IF(F283=0,"",F283+(F283*I283))</f>
        <v>44</v>
      </c>
      <c r="K283" s="91">
        <v>0.55000000000000004</v>
      </c>
      <c r="L283" s="92">
        <f t="shared" ref="L283:L284" si="268">IF(F283=0,"",K283*J283)</f>
        <v>24.200000000000003</v>
      </c>
      <c r="M283" s="93">
        <f t="shared" ref="M283:M285" si="269">IF(F283=0,"",M$7)</f>
        <v>48.95</v>
      </c>
      <c r="N283" s="94">
        <v>1.0185185185185186E-2</v>
      </c>
      <c r="O283" s="94">
        <f t="shared" ref="O283:O285" si="270">IF(F283=0,"",N283*J283)</f>
        <v>0.44814814814814818</v>
      </c>
      <c r="P283" s="92">
        <f t="shared" ref="P283:P285" si="271">IF(F283=0,"",O283*M283)</f>
        <v>21.936851851851856</v>
      </c>
      <c r="Q283" s="95">
        <f t="shared" ref="Q283:Q285" si="272">IF(F283=0,"",L283+P283)</f>
        <v>46.136851851851858</v>
      </c>
      <c r="R283" s="116"/>
    </row>
    <row r="284" spans="1:18" ht="27.6" x14ac:dyDescent="0.3">
      <c r="A284" s="83" t="str">
        <f>IF(TRIM(H284)&lt;&gt;"",COUNTA(H$9:$H284)&amp;"","")</f>
        <v>195</v>
      </c>
      <c r="B284" s="84" t="s">
        <v>402</v>
      </c>
      <c r="C284" s="84"/>
      <c r="D284" s="85"/>
      <c r="E284" s="86" t="s">
        <v>365</v>
      </c>
      <c r="F284" s="87">
        <f>180/8</f>
        <v>22.5</v>
      </c>
      <c r="H284" s="88" t="s">
        <v>181</v>
      </c>
      <c r="I284" s="89">
        <f t="shared" ref="I284:I285" si="273">IF(F284=0,"",0)</f>
        <v>0</v>
      </c>
      <c r="J284" s="90">
        <f t="shared" si="267"/>
        <v>22.5</v>
      </c>
      <c r="K284" s="91">
        <v>9.6</v>
      </c>
      <c r="L284" s="92">
        <f t="shared" si="268"/>
        <v>216</v>
      </c>
      <c r="M284" s="93">
        <f t="shared" si="269"/>
        <v>48.95</v>
      </c>
      <c r="N284" s="94">
        <v>6.666666666666668E-2</v>
      </c>
      <c r="O284" s="94">
        <f t="shared" si="270"/>
        <v>1.5000000000000002</v>
      </c>
      <c r="P284" s="92">
        <f t="shared" si="271"/>
        <v>73.425000000000011</v>
      </c>
      <c r="Q284" s="95">
        <f t="shared" si="272"/>
        <v>289.42500000000001</v>
      </c>
      <c r="R284" s="116"/>
    </row>
    <row r="285" spans="1:18" ht="27.6" x14ac:dyDescent="0.3">
      <c r="A285" s="83" t="str">
        <f>IF(TRIM(H285)&lt;&gt;"",COUNTA(H$9:$H285)&amp;"","")</f>
        <v>196</v>
      </c>
      <c r="B285" s="84" t="s">
        <v>402</v>
      </c>
      <c r="C285" s="84"/>
      <c r="D285" s="85"/>
      <c r="E285" s="86" t="s">
        <v>366</v>
      </c>
      <c r="F285" s="155">
        <f>4</f>
        <v>4</v>
      </c>
      <c r="H285" s="88" t="s">
        <v>181</v>
      </c>
      <c r="I285" s="89">
        <f t="shared" si="273"/>
        <v>0</v>
      </c>
      <c r="J285" s="90">
        <f t="shared" si="267"/>
        <v>4</v>
      </c>
      <c r="K285" s="91">
        <v>20</v>
      </c>
      <c r="L285" s="92">
        <f>IF(F285=0,"",K285*J285)</f>
        <v>80</v>
      </c>
      <c r="M285" s="93">
        <f t="shared" si="269"/>
        <v>48.95</v>
      </c>
      <c r="N285" s="94">
        <v>0.1388888888888889</v>
      </c>
      <c r="O285" s="94">
        <f t="shared" si="270"/>
        <v>0.55555555555555558</v>
      </c>
      <c r="P285" s="92">
        <f t="shared" si="271"/>
        <v>27.194444444444446</v>
      </c>
      <c r="Q285" s="95">
        <f t="shared" si="272"/>
        <v>107.19444444444444</v>
      </c>
      <c r="R285" s="116"/>
    </row>
    <row r="286" spans="1:18" x14ac:dyDescent="0.3">
      <c r="A286" s="83" t="str">
        <f>IF(TRIM(H286)&lt;&gt;"",COUNTA(H$9:$H286)&amp;"","")</f>
        <v/>
      </c>
      <c r="B286" s="84"/>
      <c r="C286" s="84"/>
      <c r="D286" s="85"/>
      <c r="E286" s="97"/>
      <c r="F286" s="87"/>
      <c r="H286" s="88"/>
      <c r="I286" s="89" t="str">
        <f t="shared" si="242"/>
        <v/>
      </c>
      <c r="J286" s="90" t="str">
        <f t="shared" si="243"/>
        <v/>
      </c>
      <c r="K286" s="91" t="str">
        <f t="shared" si="244"/>
        <v/>
      </c>
      <c r="L286" s="92" t="str">
        <f t="shared" si="245"/>
        <v/>
      </c>
      <c r="M286" s="93" t="str">
        <f t="shared" si="246"/>
        <v/>
      </c>
      <c r="N286" s="94" t="str">
        <f t="shared" si="247"/>
        <v/>
      </c>
      <c r="O286" s="94" t="str">
        <f t="shared" si="248"/>
        <v/>
      </c>
      <c r="P286" s="92" t="str">
        <f t="shared" si="249"/>
        <v/>
      </c>
      <c r="Q286" s="95" t="str">
        <f t="shared" si="250"/>
        <v/>
      </c>
      <c r="R286" s="116"/>
    </row>
    <row r="287" spans="1:18" ht="15.6" x14ac:dyDescent="0.3">
      <c r="A287" s="83" t="str">
        <f>IF(TRIM(H287)&lt;&gt;"",COUNTA(H$9:$H287)&amp;"","")</f>
        <v/>
      </c>
      <c r="B287" s="84"/>
      <c r="C287" s="84"/>
      <c r="D287" s="85"/>
      <c r="E287" s="160" t="s">
        <v>313</v>
      </c>
      <c r="F287" s="87"/>
      <c r="H287" s="88"/>
      <c r="I287" s="89" t="str">
        <f t="shared" si="242"/>
        <v/>
      </c>
      <c r="J287" s="90" t="str">
        <f t="shared" si="243"/>
        <v/>
      </c>
      <c r="K287" s="91" t="str">
        <f t="shared" si="244"/>
        <v/>
      </c>
      <c r="L287" s="92" t="str">
        <f t="shared" si="245"/>
        <v/>
      </c>
      <c r="M287" s="93" t="str">
        <f t="shared" si="246"/>
        <v/>
      </c>
      <c r="N287" s="94" t="str">
        <f t="shared" si="247"/>
        <v/>
      </c>
      <c r="O287" s="94" t="str">
        <f t="shared" si="248"/>
        <v/>
      </c>
      <c r="P287" s="92" t="str">
        <f t="shared" si="249"/>
        <v/>
      </c>
      <c r="Q287" s="95" t="str">
        <f t="shared" si="250"/>
        <v/>
      </c>
      <c r="R287" s="116"/>
    </row>
    <row r="288" spans="1:18" x14ac:dyDescent="0.3">
      <c r="A288" s="83" t="str">
        <f>IF(TRIM(H288)&lt;&gt;"",COUNTA(H$9:$H288)&amp;"","")</f>
        <v/>
      </c>
      <c r="B288" s="84"/>
      <c r="C288" s="84"/>
      <c r="D288" s="85"/>
      <c r="E288" s="156" t="s">
        <v>367</v>
      </c>
      <c r="F288" s="87"/>
      <c r="H288" s="88"/>
      <c r="I288" s="89" t="str">
        <f t="shared" si="242"/>
        <v/>
      </c>
      <c r="J288" s="90" t="str">
        <f t="shared" si="243"/>
        <v/>
      </c>
      <c r="K288" s="91" t="str">
        <f t="shared" si="244"/>
        <v/>
      </c>
      <c r="L288" s="92" t="str">
        <f t="shared" si="245"/>
        <v/>
      </c>
      <c r="M288" s="93" t="str">
        <f t="shared" si="246"/>
        <v/>
      </c>
      <c r="N288" s="94" t="str">
        <f t="shared" si="247"/>
        <v/>
      </c>
      <c r="O288" s="94" t="str">
        <f t="shared" si="248"/>
        <v/>
      </c>
      <c r="P288" s="92" t="str">
        <f t="shared" si="249"/>
        <v/>
      </c>
      <c r="Q288" s="95" t="str">
        <f t="shared" si="250"/>
        <v/>
      </c>
      <c r="R288" s="116"/>
    </row>
    <row r="289" spans="1:23" x14ac:dyDescent="0.3">
      <c r="A289" s="83" t="str">
        <f>IF(TRIM(H289)&lt;&gt;"",COUNTA(H$9:$H289)&amp;"","")</f>
        <v/>
      </c>
      <c r="B289" s="84"/>
      <c r="C289" s="84"/>
      <c r="D289" s="85"/>
      <c r="E289" s="156" t="s">
        <v>368</v>
      </c>
      <c r="F289" s="87"/>
      <c r="H289" s="88"/>
      <c r="I289" s="89" t="str">
        <f t="shared" si="242"/>
        <v/>
      </c>
      <c r="J289" s="90" t="str">
        <f t="shared" si="243"/>
        <v/>
      </c>
      <c r="K289" s="91" t="str">
        <f t="shared" si="244"/>
        <v/>
      </c>
      <c r="L289" s="92" t="str">
        <f t="shared" si="245"/>
        <v/>
      </c>
      <c r="M289" s="93" t="str">
        <f t="shared" si="246"/>
        <v/>
      </c>
      <c r="N289" s="94" t="str">
        <f t="shared" si="247"/>
        <v/>
      </c>
      <c r="O289" s="94" t="str">
        <f t="shared" si="248"/>
        <v/>
      </c>
      <c r="P289" s="92" t="str">
        <f t="shared" si="249"/>
        <v/>
      </c>
      <c r="Q289" s="95" t="str">
        <f t="shared" si="250"/>
        <v/>
      </c>
      <c r="R289" s="116"/>
    </row>
    <row r="290" spans="1:23" ht="15" thickBot="1" x14ac:dyDescent="0.35">
      <c r="A290" s="83" t="str">
        <f>IF(TRIM(H290)&lt;&gt;"",COUNTA(H$9:$H290)&amp;"","")</f>
        <v/>
      </c>
      <c r="B290" s="98"/>
      <c r="C290" s="98"/>
      <c r="D290" s="85"/>
      <c r="E290" s="99"/>
      <c r="F290" s="87"/>
      <c r="H290" s="88"/>
      <c r="I290" s="89" t="str">
        <f t="shared" si="242"/>
        <v/>
      </c>
      <c r="J290" s="90" t="str">
        <f t="shared" si="243"/>
        <v/>
      </c>
      <c r="K290" s="91" t="str">
        <f t="shared" si="244"/>
        <v/>
      </c>
      <c r="L290" s="92" t="str">
        <f t="shared" si="245"/>
        <v/>
      </c>
      <c r="M290" s="93" t="str">
        <f t="shared" si="246"/>
        <v/>
      </c>
      <c r="N290" s="94" t="str">
        <f t="shared" si="247"/>
        <v/>
      </c>
      <c r="O290" s="94" t="str">
        <f t="shared" si="248"/>
        <v/>
      </c>
      <c r="P290" s="92" t="str">
        <f t="shared" si="249"/>
        <v/>
      </c>
      <c r="Q290" s="95" t="str">
        <f t="shared" si="250"/>
        <v/>
      </c>
      <c r="R290" s="116"/>
    </row>
    <row r="291" spans="1:23" s="111" customFormat="1" ht="16.2" thickBot="1" x14ac:dyDescent="0.35">
      <c r="A291" s="83" t="str">
        <f>IF(TRIM(H291)&lt;&gt;"",COUNTA(H$9:$H291)&amp;"","")</f>
        <v/>
      </c>
      <c r="B291" s="118"/>
      <c r="C291" s="118"/>
      <c r="D291" s="119"/>
      <c r="E291" s="102"/>
      <c r="F291" s="87"/>
      <c r="H291" s="120"/>
      <c r="I291" s="105" t="s">
        <v>12</v>
      </c>
      <c r="J291" s="106"/>
      <c r="K291" s="107">
        <f>SUM(L$222:L$290)</f>
        <v>11439.153999999999</v>
      </c>
      <c r="L291" s="198" t="s">
        <v>13</v>
      </c>
      <c r="M291" s="199"/>
      <c r="N291" s="108">
        <f>SUM(P$222:P$290)</f>
        <v>6550.5560796296304</v>
      </c>
      <c r="O291" s="198" t="s">
        <v>42</v>
      </c>
      <c r="P291" s="199"/>
      <c r="Q291" s="109">
        <f>SUM(O$222:O$290)</f>
        <v>133.82137037037035</v>
      </c>
      <c r="R291" s="110">
        <f>SUM(Q$222:Q$290)</f>
        <v>17989.710079629629</v>
      </c>
      <c r="S291" s="64"/>
      <c r="T291" s="64"/>
      <c r="U291" s="64"/>
      <c r="V291" s="64"/>
      <c r="W291" s="64"/>
    </row>
    <row r="292" spans="1:23" s="166" customFormat="1" ht="20.100000000000001" customHeight="1" x14ac:dyDescent="0.3">
      <c r="A292" s="164" t="str">
        <f>IF(TRIM(H292)&lt;&gt;"",COUNTA(H$9:$H292)&amp;"","")</f>
        <v/>
      </c>
      <c r="B292" s="165"/>
      <c r="C292" s="165"/>
      <c r="D292" s="166">
        <v>260000</v>
      </c>
      <c r="E292" s="166" t="s">
        <v>129</v>
      </c>
      <c r="F292" s="167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8"/>
    </row>
    <row r="293" spans="1:23" ht="15.6" x14ac:dyDescent="0.3">
      <c r="A293" s="83" t="str">
        <f>IF(TRIM(H293)&lt;&gt;"",COUNTA(H$9:$H293)&amp;"","")</f>
        <v/>
      </c>
      <c r="B293" s="84"/>
      <c r="C293" s="84"/>
      <c r="D293" s="85"/>
      <c r="E293" s="160" t="s">
        <v>369</v>
      </c>
      <c r="F293" s="87"/>
      <c r="H293" s="88"/>
      <c r="I293" s="89" t="str">
        <f t="shared" ref="I293:I347" si="274">IF(F293=0,"",0)</f>
        <v/>
      </c>
      <c r="J293" s="90" t="str">
        <f t="shared" ref="J293:J347" si="275">IF(F293=0,"",F293+(F293*I293))</f>
        <v/>
      </c>
      <c r="K293" s="91" t="str">
        <f t="shared" ref="K293:K347" si="276">IF(F293=0,"",0)</f>
        <v/>
      </c>
      <c r="L293" s="92" t="str">
        <f t="shared" ref="L293:L347" si="277">IF(F293=0,"",K293*J293)</f>
        <v/>
      </c>
      <c r="M293" s="93" t="str">
        <f t="shared" ref="M293:M347" si="278">IF(F293=0,"",M$7)</f>
        <v/>
      </c>
      <c r="N293" s="94" t="str">
        <f t="shared" ref="N293:N347" si="279">IF(F293=0,"",0)</f>
        <v/>
      </c>
      <c r="O293" s="94" t="str">
        <f t="shared" ref="O293:O347" si="280">IF(F293=0,"",N293*J293)</f>
        <v/>
      </c>
      <c r="P293" s="92" t="str">
        <f t="shared" ref="P293:P347" si="281">IF(F293=0,"",O293*M293)</f>
        <v/>
      </c>
      <c r="Q293" s="95" t="str">
        <f t="shared" ref="Q293:Q347" si="282">IF(F293=0,"",L293+P293)</f>
        <v/>
      </c>
      <c r="R293" s="116"/>
    </row>
    <row r="294" spans="1:23" ht="18.899999999999999" customHeight="1" x14ac:dyDescent="0.3">
      <c r="A294" s="83" t="str">
        <f>IF(TRIM(H294)&lt;&gt;"",COUNTA(H$9:$H294)&amp;"","")</f>
        <v>197</v>
      </c>
      <c r="B294" s="84" t="s">
        <v>403</v>
      </c>
      <c r="C294" s="84"/>
      <c r="D294" s="85"/>
      <c r="E294" s="153" t="s">
        <v>370</v>
      </c>
      <c r="F294" s="87">
        <v>15.72</v>
      </c>
      <c r="H294" s="88" t="s">
        <v>159</v>
      </c>
      <c r="I294" s="89">
        <f t="shared" si="274"/>
        <v>0</v>
      </c>
      <c r="J294" s="90">
        <f t="shared" si="275"/>
        <v>15.72</v>
      </c>
      <c r="K294" s="91">
        <v>2.7</v>
      </c>
      <c r="L294" s="92">
        <f t="shared" si="277"/>
        <v>42.444000000000003</v>
      </c>
      <c r="M294" s="93">
        <f t="shared" si="278"/>
        <v>48.95</v>
      </c>
      <c r="N294" s="94">
        <v>0.05</v>
      </c>
      <c r="O294" s="94">
        <f t="shared" si="280"/>
        <v>0.78600000000000003</v>
      </c>
      <c r="P294" s="92">
        <f t="shared" si="281"/>
        <v>38.474700000000006</v>
      </c>
      <c r="Q294" s="95">
        <f t="shared" si="282"/>
        <v>80.918700000000001</v>
      </c>
      <c r="R294" s="116"/>
    </row>
    <row r="295" spans="1:23" x14ac:dyDescent="0.3">
      <c r="A295" s="83" t="str">
        <f>IF(TRIM(H295)&lt;&gt;"",COUNTA(H$9:$H295)&amp;"","")</f>
        <v/>
      </c>
      <c r="B295" s="84"/>
      <c r="C295" s="84"/>
      <c r="D295" s="85"/>
      <c r="E295" s="97"/>
      <c r="F295" s="87"/>
      <c r="H295" s="88"/>
      <c r="I295" s="89" t="str">
        <f t="shared" si="274"/>
        <v/>
      </c>
      <c r="J295" s="90" t="str">
        <f t="shared" si="275"/>
        <v/>
      </c>
      <c r="K295" s="91" t="s">
        <v>407</v>
      </c>
      <c r="L295" s="92" t="str">
        <f t="shared" si="277"/>
        <v/>
      </c>
      <c r="M295" s="93" t="str">
        <f t="shared" si="278"/>
        <v/>
      </c>
      <c r="N295" s="94" t="s">
        <v>407</v>
      </c>
      <c r="O295" s="94" t="str">
        <f t="shared" si="280"/>
        <v/>
      </c>
      <c r="P295" s="92" t="str">
        <f t="shared" si="281"/>
        <v/>
      </c>
      <c r="Q295" s="95" t="str">
        <f t="shared" si="282"/>
        <v/>
      </c>
      <c r="R295" s="116"/>
    </row>
    <row r="296" spans="1:23" ht="15.6" x14ac:dyDescent="0.3">
      <c r="A296" s="83" t="str">
        <f>IF(TRIM(H296)&lt;&gt;"",COUNTA(H$9:$H296)&amp;"","")</f>
        <v/>
      </c>
      <c r="B296" s="84"/>
      <c r="C296" s="84"/>
      <c r="D296" s="85"/>
      <c r="E296" s="160" t="s">
        <v>139</v>
      </c>
      <c r="F296" s="87"/>
      <c r="H296" s="88"/>
      <c r="I296" s="89" t="str">
        <f t="shared" si="274"/>
        <v/>
      </c>
      <c r="J296" s="90" t="str">
        <f t="shared" si="275"/>
        <v/>
      </c>
      <c r="K296" s="91" t="s">
        <v>407</v>
      </c>
      <c r="L296" s="92" t="str">
        <f t="shared" si="277"/>
        <v/>
      </c>
      <c r="M296" s="93" t="str">
        <f t="shared" si="278"/>
        <v/>
      </c>
      <c r="N296" s="94" t="s">
        <v>407</v>
      </c>
      <c r="O296" s="94" t="str">
        <f t="shared" si="280"/>
        <v/>
      </c>
      <c r="P296" s="92" t="str">
        <f t="shared" si="281"/>
        <v/>
      </c>
      <c r="Q296" s="95" t="str">
        <f t="shared" si="282"/>
        <v/>
      </c>
      <c r="R296" s="116"/>
    </row>
    <row r="297" spans="1:23" ht="18.899999999999999" customHeight="1" x14ac:dyDescent="0.3">
      <c r="A297" s="83" t="str">
        <f>IF(TRIM(H297)&lt;&gt;"",COUNTA(H$9:$H297)&amp;"","")</f>
        <v/>
      </c>
      <c r="B297" s="84"/>
      <c r="C297" s="84"/>
      <c r="D297" s="85"/>
      <c r="E297" s="121" t="s">
        <v>140</v>
      </c>
      <c r="F297" s="87"/>
      <c r="H297" s="88"/>
      <c r="I297" s="89" t="str">
        <f t="shared" si="274"/>
        <v/>
      </c>
      <c r="J297" s="90" t="str">
        <f t="shared" si="275"/>
        <v/>
      </c>
      <c r="K297" s="91" t="s">
        <v>407</v>
      </c>
      <c r="L297" s="92" t="str">
        <f t="shared" si="277"/>
        <v/>
      </c>
      <c r="M297" s="93" t="str">
        <f t="shared" si="278"/>
        <v/>
      </c>
      <c r="N297" s="94" t="s">
        <v>407</v>
      </c>
      <c r="O297" s="94" t="str">
        <f t="shared" si="280"/>
        <v/>
      </c>
      <c r="P297" s="92" t="str">
        <f t="shared" si="281"/>
        <v/>
      </c>
      <c r="Q297" s="95" t="str">
        <f t="shared" si="282"/>
        <v/>
      </c>
      <c r="R297" s="116"/>
    </row>
    <row r="298" spans="1:23" ht="18.899999999999999" customHeight="1" x14ac:dyDescent="0.3">
      <c r="A298" s="83" t="str">
        <f>IF(TRIM(H298)&lt;&gt;"",COUNTA(H$9:$H298)&amp;"","")</f>
        <v>198</v>
      </c>
      <c r="B298" s="84" t="s">
        <v>403</v>
      </c>
      <c r="C298" s="84"/>
      <c r="D298" s="85"/>
      <c r="E298" s="86" t="s">
        <v>371</v>
      </c>
      <c r="F298" s="87">
        <v>444.52000000000004</v>
      </c>
      <c r="H298" s="88" t="s">
        <v>159</v>
      </c>
      <c r="I298" s="89">
        <v>0.05</v>
      </c>
      <c r="J298" s="90">
        <f t="shared" si="275"/>
        <v>466.74600000000004</v>
      </c>
      <c r="K298" s="91">
        <v>2.016</v>
      </c>
      <c r="L298" s="92">
        <f t="shared" si="277"/>
        <v>940.95993600000008</v>
      </c>
      <c r="M298" s="93">
        <f t="shared" si="278"/>
        <v>48.95</v>
      </c>
      <c r="N298" s="94">
        <v>3.7333333333333336E-2</v>
      </c>
      <c r="O298" s="94">
        <f t="shared" si="280"/>
        <v>17.425184000000002</v>
      </c>
      <c r="P298" s="92">
        <f t="shared" si="281"/>
        <v>852.96275680000008</v>
      </c>
      <c r="Q298" s="95">
        <f t="shared" si="282"/>
        <v>1793.9226928000003</v>
      </c>
      <c r="R298" s="116"/>
    </row>
    <row r="299" spans="1:23" ht="18.899999999999999" customHeight="1" x14ac:dyDescent="0.3">
      <c r="A299" s="83" t="str">
        <f>IF(TRIM(H299)&lt;&gt;"",COUNTA(H$9:$H299)&amp;"","")</f>
        <v/>
      </c>
      <c r="B299" s="84"/>
      <c r="C299" s="84"/>
      <c r="D299" s="85"/>
      <c r="E299" s="97"/>
      <c r="F299" s="87"/>
      <c r="H299" s="88"/>
      <c r="I299" s="89" t="str">
        <f t="shared" si="274"/>
        <v/>
      </c>
      <c r="J299" s="90" t="str">
        <f t="shared" si="275"/>
        <v/>
      </c>
      <c r="K299" s="91" t="s">
        <v>407</v>
      </c>
      <c r="L299" s="92" t="str">
        <f t="shared" si="277"/>
        <v/>
      </c>
      <c r="M299" s="93" t="str">
        <f t="shared" si="278"/>
        <v/>
      </c>
      <c r="N299" s="94" t="s">
        <v>407</v>
      </c>
      <c r="O299" s="94" t="str">
        <f t="shared" si="280"/>
        <v/>
      </c>
      <c r="P299" s="92" t="str">
        <f t="shared" si="281"/>
        <v/>
      </c>
      <c r="Q299" s="95" t="str">
        <f t="shared" si="282"/>
        <v/>
      </c>
      <c r="R299" s="116"/>
    </row>
    <row r="300" spans="1:23" ht="18.899999999999999" customHeight="1" x14ac:dyDescent="0.3">
      <c r="A300" s="83" t="str">
        <f>IF(TRIM(H300)&lt;&gt;"",COUNTA(H$9:$H300)&amp;"","")</f>
        <v/>
      </c>
      <c r="B300" s="84"/>
      <c r="C300" s="84"/>
      <c r="D300" s="85"/>
      <c r="E300" s="121" t="s">
        <v>141</v>
      </c>
      <c r="F300" s="87"/>
      <c r="H300" s="88"/>
      <c r="I300" s="89" t="str">
        <f t="shared" si="274"/>
        <v/>
      </c>
      <c r="J300" s="90" t="str">
        <f t="shared" si="275"/>
        <v/>
      </c>
      <c r="K300" s="91" t="s">
        <v>407</v>
      </c>
      <c r="L300" s="92" t="str">
        <f t="shared" si="277"/>
        <v/>
      </c>
      <c r="M300" s="93" t="str">
        <f t="shared" si="278"/>
        <v/>
      </c>
      <c r="N300" s="94" t="s">
        <v>407</v>
      </c>
      <c r="O300" s="94" t="str">
        <f t="shared" si="280"/>
        <v/>
      </c>
      <c r="P300" s="92" t="str">
        <f t="shared" si="281"/>
        <v/>
      </c>
      <c r="Q300" s="95" t="str">
        <f t="shared" si="282"/>
        <v/>
      </c>
      <c r="R300" s="116"/>
    </row>
    <row r="301" spans="1:23" ht="18.899999999999999" customHeight="1" x14ac:dyDescent="0.3">
      <c r="A301" s="83" t="str">
        <f>IF(TRIM(H301)&lt;&gt;"",COUNTA(H$9:$H301)&amp;"","")</f>
        <v>199</v>
      </c>
      <c r="B301" s="84" t="s">
        <v>403</v>
      </c>
      <c r="C301" s="84"/>
      <c r="D301" s="85"/>
      <c r="E301" s="97" t="s">
        <v>372</v>
      </c>
      <c r="F301" s="87">
        <v>1334</v>
      </c>
      <c r="H301" s="88" t="s">
        <v>159</v>
      </c>
      <c r="I301" s="89">
        <v>0.1</v>
      </c>
      <c r="J301" s="90">
        <f t="shared" si="275"/>
        <v>1467.4</v>
      </c>
      <c r="K301" s="91">
        <v>0.24</v>
      </c>
      <c r="L301" s="92">
        <f t="shared" si="277"/>
        <v>352.17599999999999</v>
      </c>
      <c r="M301" s="93">
        <f t="shared" si="278"/>
        <v>48.95</v>
      </c>
      <c r="N301" s="94">
        <v>4.4444444444444453E-3</v>
      </c>
      <c r="O301" s="94">
        <f t="shared" si="280"/>
        <v>6.5217777777777792</v>
      </c>
      <c r="P301" s="92">
        <f t="shared" si="281"/>
        <v>319.24102222222228</v>
      </c>
      <c r="Q301" s="95">
        <f t="shared" si="282"/>
        <v>671.41702222222227</v>
      </c>
      <c r="R301" s="116"/>
    </row>
    <row r="302" spans="1:23" ht="18.899999999999999" customHeight="1" x14ac:dyDescent="0.3">
      <c r="A302" s="83" t="str">
        <f>IF(TRIM(H302)&lt;&gt;"",COUNTA(H$9:$H302)&amp;"","")</f>
        <v/>
      </c>
      <c r="B302" s="84"/>
      <c r="C302" s="84"/>
      <c r="D302" s="85"/>
      <c r="E302" s="97"/>
      <c r="F302" s="87"/>
      <c r="H302" s="88"/>
      <c r="I302" s="89" t="str">
        <f t="shared" si="274"/>
        <v/>
      </c>
      <c r="J302" s="90" t="str">
        <f t="shared" si="275"/>
        <v/>
      </c>
      <c r="K302" s="91" t="s">
        <v>407</v>
      </c>
      <c r="L302" s="92" t="str">
        <f t="shared" si="277"/>
        <v/>
      </c>
      <c r="M302" s="93" t="str">
        <f t="shared" si="278"/>
        <v/>
      </c>
      <c r="N302" s="94" t="s">
        <v>407</v>
      </c>
      <c r="O302" s="94" t="str">
        <f t="shared" si="280"/>
        <v/>
      </c>
      <c r="P302" s="92" t="str">
        <f t="shared" si="281"/>
        <v/>
      </c>
      <c r="Q302" s="95" t="str">
        <f t="shared" si="282"/>
        <v/>
      </c>
      <c r="R302" s="116"/>
    </row>
    <row r="303" spans="1:23" ht="18.899999999999999" customHeight="1" x14ac:dyDescent="0.3">
      <c r="A303" s="83" t="str">
        <f>IF(TRIM(H303)&lt;&gt;"",COUNTA(H$9:$H303)&amp;"","")</f>
        <v/>
      </c>
      <c r="B303" s="84"/>
      <c r="C303" s="84"/>
      <c r="D303" s="85"/>
      <c r="E303" s="121" t="s">
        <v>142</v>
      </c>
      <c r="F303" s="87"/>
      <c r="H303" s="88"/>
      <c r="I303" s="89" t="str">
        <f t="shared" si="274"/>
        <v/>
      </c>
      <c r="J303" s="90" t="str">
        <f t="shared" si="275"/>
        <v/>
      </c>
      <c r="K303" s="91" t="s">
        <v>407</v>
      </c>
      <c r="L303" s="92" t="str">
        <f t="shared" si="277"/>
        <v/>
      </c>
      <c r="M303" s="93" t="str">
        <f t="shared" si="278"/>
        <v/>
      </c>
      <c r="N303" s="94" t="s">
        <v>407</v>
      </c>
      <c r="O303" s="94" t="str">
        <f t="shared" si="280"/>
        <v/>
      </c>
      <c r="P303" s="92" t="str">
        <f t="shared" si="281"/>
        <v/>
      </c>
      <c r="Q303" s="95" t="str">
        <f t="shared" si="282"/>
        <v/>
      </c>
      <c r="R303" s="116"/>
    </row>
    <row r="304" spans="1:23" ht="18.899999999999999" customHeight="1" x14ac:dyDescent="0.3">
      <c r="A304" s="83" t="str">
        <f>IF(TRIM(H304)&lt;&gt;"",COUNTA(H$9:$H304)&amp;"","")</f>
        <v>200</v>
      </c>
      <c r="B304" s="84" t="s">
        <v>403</v>
      </c>
      <c r="C304" s="84"/>
      <c r="D304" s="85"/>
      <c r="E304" s="86" t="s">
        <v>371</v>
      </c>
      <c r="F304" s="87">
        <v>491.39</v>
      </c>
      <c r="H304" s="88" t="s">
        <v>159</v>
      </c>
      <c r="I304" s="89">
        <v>0.05</v>
      </c>
      <c r="J304" s="90">
        <f t="shared" si="275"/>
        <v>515.95949999999993</v>
      </c>
      <c r="K304" s="91">
        <v>2.016</v>
      </c>
      <c r="L304" s="92">
        <f t="shared" si="277"/>
        <v>1040.1743519999998</v>
      </c>
      <c r="M304" s="93">
        <f t="shared" si="278"/>
        <v>48.95</v>
      </c>
      <c r="N304" s="94">
        <v>3.7333333333333336E-2</v>
      </c>
      <c r="O304" s="94">
        <f t="shared" si="280"/>
        <v>19.262487999999998</v>
      </c>
      <c r="P304" s="92">
        <f t="shared" si="281"/>
        <v>942.89878759999999</v>
      </c>
      <c r="Q304" s="95">
        <f t="shared" si="282"/>
        <v>1983.0731395999996</v>
      </c>
      <c r="R304" s="116"/>
    </row>
    <row r="305" spans="1:18" ht="18.899999999999999" customHeight="1" x14ac:dyDescent="0.3">
      <c r="A305" s="83" t="str">
        <f>IF(TRIM(H305)&lt;&gt;"",COUNTA(H$9:$H305)&amp;"","")</f>
        <v>201</v>
      </c>
      <c r="B305" s="84" t="s">
        <v>403</v>
      </c>
      <c r="C305" s="84"/>
      <c r="D305" s="85"/>
      <c r="E305" s="86" t="s">
        <v>373</v>
      </c>
      <c r="F305" s="87">
        <v>15.72</v>
      </c>
      <c r="H305" s="88" t="s">
        <v>159</v>
      </c>
      <c r="I305" s="89">
        <v>0.05</v>
      </c>
      <c r="J305" s="90">
        <f t="shared" si="275"/>
        <v>16.506</v>
      </c>
      <c r="K305" s="91">
        <v>1.68</v>
      </c>
      <c r="L305" s="92">
        <f t="shared" si="277"/>
        <v>27.730080000000001</v>
      </c>
      <c r="M305" s="93">
        <f t="shared" si="278"/>
        <v>48.95</v>
      </c>
      <c r="N305" s="94">
        <v>3.1111111111111107E-2</v>
      </c>
      <c r="O305" s="94">
        <f t="shared" si="280"/>
        <v>0.51351999999999998</v>
      </c>
      <c r="P305" s="92">
        <f t="shared" si="281"/>
        <v>25.136804000000001</v>
      </c>
      <c r="Q305" s="95">
        <f t="shared" si="282"/>
        <v>52.866883999999999</v>
      </c>
      <c r="R305" s="116"/>
    </row>
    <row r="306" spans="1:18" ht="18.899999999999999" customHeight="1" x14ac:dyDescent="0.3">
      <c r="A306" s="83" t="str">
        <f>IF(TRIM(H306)&lt;&gt;"",COUNTA(H$9:$H306)&amp;"","")</f>
        <v/>
      </c>
      <c r="B306" s="84"/>
      <c r="C306" s="84"/>
      <c r="D306" s="85"/>
      <c r="E306" s="97"/>
      <c r="F306" s="87"/>
      <c r="H306" s="88"/>
      <c r="I306" s="89" t="str">
        <f t="shared" si="274"/>
        <v/>
      </c>
      <c r="J306" s="90" t="str">
        <f t="shared" si="275"/>
        <v/>
      </c>
      <c r="K306" s="91" t="s">
        <v>407</v>
      </c>
      <c r="L306" s="92" t="str">
        <f t="shared" si="277"/>
        <v/>
      </c>
      <c r="M306" s="93" t="str">
        <f t="shared" si="278"/>
        <v/>
      </c>
      <c r="N306" s="94" t="s">
        <v>407</v>
      </c>
      <c r="O306" s="94" t="str">
        <f t="shared" si="280"/>
        <v/>
      </c>
      <c r="P306" s="92" t="str">
        <f t="shared" si="281"/>
        <v/>
      </c>
      <c r="Q306" s="95" t="str">
        <f t="shared" si="282"/>
        <v/>
      </c>
      <c r="R306" s="116"/>
    </row>
    <row r="307" spans="1:18" ht="18.899999999999999" customHeight="1" x14ac:dyDescent="0.3">
      <c r="A307" s="83" t="str">
        <f>IF(TRIM(H307)&lt;&gt;"",COUNTA(H$9:$H307)&amp;"","")</f>
        <v/>
      </c>
      <c r="B307" s="84"/>
      <c r="C307" s="84"/>
      <c r="D307" s="85"/>
      <c r="E307" s="121" t="s">
        <v>143</v>
      </c>
      <c r="F307" s="87"/>
      <c r="H307" s="88"/>
      <c r="I307" s="89" t="str">
        <f t="shared" si="274"/>
        <v/>
      </c>
      <c r="J307" s="90" t="str">
        <f t="shared" si="275"/>
        <v/>
      </c>
      <c r="K307" s="91" t="s">
        <v>407</v>
      </c>
      <c r="L307" s="92" t="str">
        <f t="shared" si="277"/>
        <v/>
      </c>
      <c r="M307" s="93" t="str">
        <f t="shared" si="278"/>
        <v/>
      </c>
      <c r="N307" s="94" t="s">
        <v>407</v>
      </c>
      <c r="O307" s="94" t="str">
        <f t="shared" si="280"/>
        <v/>
      </c>
      <c r="P307" s="92" t="str">
        <f t="shared" si="281"/>
        <v/>
      </c>
      <c r="Q307" s="95" t="str">
        <f t="shared" si="282"/>
        <v/>
      </c>
      <c r="R307" s="116"/>
    </row>
    <row r="308" spans="1:18" ht="18.899999999999999" customHeight="1" x14ac:dyDescent="0.3">
      <c r="A308" s="83" t="str">
        <f>IF(TRIM(H308)&lt;&gt;"",COUNTA(H$9:$H308)&amp;"","")</f>
        <v>202</v>
      </c>
      <c r="B308" s="84" t="s">
        <v>403</v>
      </c>
      <c r="C308" s="84"/>
      <c r="D308" s="85"/>
      <c r="E308" s="97" t="s">
        <v>372</v>
      </c>
      <c r="F308" s="87">
        <v>874.62000000000012</v>
      </c>
      <c r="H308" s="88" t="s">
        <v>159</v>
      </c>
      <c r="I308" s="89">
        <v>0.1</v>
      </c>
      <c r="J308" s="90">
        <f t="shared" si="275"/>
        <v>962.08200000000011</v>
      </c>
      <c r="K308" s="91">
        <v>0.24</v>
      </c>
      <c r="L308" s="92">
        <f t="shared" si="277"/>
        <v>230.89968000000002</v>
      </c>
      <c r="M308" s="93">
        <f t="shared" si="278"/>
        <v>48.95</v>
      </c>
      <c r="N308" s="94">
        <v>4.4444444444444453E-3</v>
      </c>
      <c r="O308" s="94">
        <f t="shared" si="280"/>
        <v>4.2759200000000011</v>
      </c>
      <c r="P308" s="92">
        <f t="shared" si="281"/>
        <v>209.30628400000006</v>
      </c>
      <c r="Q308" s="95">
        <f t="shared" si="282"/>
        <v>440.20596400000011</v>
      </c>
      <c r="R308" s="116"/>
    </row>
    <row r="309" spans="1:18" ht="18.899999999999999" customHeight="1" x14ac:dyDescent="0.3">
      <c r="A309" s="83" t="str">
        <f>IF(TRIM(H309)&lt;&gt;"",COUNTA(H$9:$H309)&amp;"","")</f>
        <v>203</v>
      </c>
      <c r="B309" s="84" t="s">
        <v>403</v>
      </c>
      <c r="C309" s="84"/>
      <c r="D309" s="85"/>
      <c r="E309" s="97" t="s">
        <v>374</v>
      </c>
      <c r="F309" s="87">
        <v>47.160000000000004</v>
      </c>
      <c r="H309" s="88" t="s">
        <v>159</v>
      </c>
      <c r="I309" s="89">
        <v>0.1</v>
      </c>
      <c r="J309" s="90">
        <f t="shared" si="275"/>
        <v>51.876000000000005</v>
      </c>
      <c r="K309" s="91">
        <v>0.24</v>
      </c>
      <c r="L309" s="92">
        <f t="shared" si="277"/>
        <v>12.450240000000001</v>
      </c>
      <c r="M309" s="93">
        <f t="shared" si="278"/>
        <v>48.95</v>
      </c>
      <c r="N309" s="94">
        <v>4.4444444444444453E-3</v>
      </c>
      <c r="O309" s="94">
        <f t="shared" si="280"/>
        <v>0.23056000000000007</v>
      </c>
      <c r="P309" s="92">
        <f t="shared" si="281"/>
        <v>11.285912000000003</v>
      </c>
      <c r="Q309" s="95">
        <f t="shared" si="282"/>
        <v>23.736152000000004</v>
      </c>
      <c r="R309" s="116"/>
    </row>
    <row r="310" spans="1:18" ht="18.899999999999999" customHeight="1" x14ac:dyDescent="0.3">
      <c r="A310" s="83" t="str">
        <f>IF(TRIM(H310)&lt;&gt;"",COUNTA(H$9:$H310)&amp;"","")</f>
        <v/>
      </c>
      <c r="B310" s="84"/>
      <c r="C310" s="84"/>
      <c r="D310" s="85"/>
      <c r="E310" s="97"/>
      <c r="F310" s="87"/>
      <c r="H310" s="88"/>
      <c r="I310" s="89" t="str">
        <f t="shared" si="274"/>
        <v/>
      </c>
      <c r="J310" s="90" t="str">
        <f t="shared" si="275"/>
        <v/>
      </c>
      <c r="K310" s="91" t="s">
        <v>407</v>
      </c>
      <c r="L310" s="92" t="str">
        <f t="shared" si="277"/>
        <v/>
      </c>
      <c r="M310" s="93" t="str">
        <f t="shared" si="278"/>
        <v/>
      </c>
      <c r="N310" s="94" t="s">
        <v>407</v>
      </c>
      <c r="O310" s="94" t="str">
        <f t="shared" si="280"/>
        <v/>
      </c>
      <c r="P310" s="92" t="str">
        <f t="shared" si="281"/>
        <v/>
      </c>
      <c r="Q310" s="95" t="str">
        <f t="shared" si="282"/>
        <v/>
      </c>
      <c r="R310" s="116"/>
    </row>
    <row r="311" spans="1:18" ht="15.6" x14ac:dyDescent="0.3">
      <c r="A311" s="83" t="str">
        <f>IF(TRIM(H311)&lt;&gt;"",COUNTA(H$9:$H311)&amp;"","")</f>
        <v/>
      </c>
      <c r="B311" s="84"/>
      <c r="C311" s="84"/>
      <c r="D311" s="85"/>
      <c r="E311" s="160" t="s">
        <v>144</v>
      </c>
      <c r="F311" s="87"/>
      <c r="H311" s="88"/>
      <c r="I311" s="89" t="str">
        <f t="shared" si="274"/>
        <v/>
      </c>
      <c r="J311" s="90" t="str">
        <f t="shared" si="275"/>
        <v/>
      </c>
      <c r="K311" s="91" t="s">
        <v>407</v>
      </c>
      <c r="L311" s="92" t="str">
        <f t="shared" si="277"/>
        <v/>
      </c>
      <c r="M311" s="93" t="str">
        <f t="shared" si="278"/>
        <v/>
      </c>
      <c r="N311" s="94" t="s">
        <v>407</v>
      </c>
      <c r="O311" s="94" t="str">
        <f t="shared" si="280"/>
        <v/>
      </c>
      <c r="P311" s="92" t="str">
        <f t="shared" si="281"/>
        <v/>
      </c>
      <c r="Q311" s="95" t="str">
        <f t="shared" si="282"/>
        <v/>
      </c>
      <c r="R311" s="116"/>
    </row>
    <row r="312" spans="1:18" x14ac:dyDescent="0.3">
      <c r="A312" s="83" t="str">
        <f>IF(TRIM(H312)&lt;&gt;"",COUNTA(H$9:$H312)&amp;"","")</f>
        <v/>
      </c>
      <c r="B312" s="84"/>
      <c r="C312" s="84"/>
      <c r="D312" s="85"/>
      <c r="E312" s="121" t="s">
        <v>375</v>
      </c>
      <c r="F312" s="87"/>
      <c r="H312" s="88"/>
      <c r="I312" s="89" t="str">
        <f t="shared" si="274"/>
        <v/>
      </c>
      <c r="J312" s="90" t="str">
        <f t="shared" si="275"/>
        <v/>
      </c>
      <c r="K312" s="91" t="s">
        <v>407</v>
      </c>
      <c r="L312" s="92" t="str">
        <f t="shared" si="277"/>
        <v/>
      </c>
      <c r="M312" s="93" t="str">
        <f t="shared" si="278"/>
        <v/>
      </c>
      <c r="N312" s="94" t="s">
        <v>407</v>
      </c>
      <c r="O312" s="94" t="str">
        <f t="shared" si="280"/>
        <v/>
      </c>
      <c r="P312" s="92" t="str">
        <f t="shared" si="281"/>
        <v/>
      </c>
      <c r="Q312" s="95" t="str">
        <f t="shared" si="282"/>
        <v/>
      </c>
      <c r="R312" s="116"/>
    </row>
    <row r="313" spans="1:18" ht="18.899999999999999" customHeight="1" x14ac:dyDescent="0.3">
      <c r="A313" s="83" t="str">
        <f>IF(TRIM(H313)&lt;&gt;"",COUNTA(H$9:$H313)&amp;"","")</f>
        <v>204</v>
      </c>
      <c r="B313" s="84" t="s">
        <v>403</v>
      </c>
      <c r="C313" s="84"/>
      <c r="D313" s="85"/>
      <c r="E313" s="153" t="s">
        <v>376</v>
      </c>
      <c r="F313" s="87">
        <v>25</v>
      </c>
      <c r="H313" s="88" t="s">
        <v>181</v>
      </c>
      <c r="I313" s="89">
        <f t="shared" si="274"/>
        <v>0</v>
      </c>
      <c r="J313" s="90">
        <f t="shared" si="275"/>
        <v>25</v>
      </c>
      <c r="K313" s="91">
        <v>80</v>
      </c>
      <c r="L313" s="92">
        <f t="shared" si="277"/>
        <v>2000</v>
      </c>
      <c r="M313" s="93">
        <f t="shared" si="278"/>
        <v>48.95</v>
      </c>
      <c r="N313" s="94">
        <v>0.55555555555555558</v>
      </c>
      <c r="O313" s="94">
        <f t="shared" si="280"/>
        <v>13.888888888888889</v>
      </c>
      <c r="P313" s="92">
        <f t="shared" si="281"/>
        <v>679.8611111111112</v>
      </c>
      <c r="Q313" s="95">
        <f t="shared" si="282"/>
        <v>2679.8611111111113</v>
      </c>
      <c r="R313" s="116"/>
    </row>
    <row r="314" spans="1:18" ht="18.899999999999999" customHeight="1" x14ac:dyDescent="0.3">
      <c r="A314" s="83" t="str">
        <f>IF(TRIM(H314)&lt;&gt;"",COUNTA(H$9:$H314)&amp;"","")</f>
        <v>205</v>
      </c>
      <c r="B314" s="84" t="s">
        <v>403</v>
      </c>
      <c r="C314" s="84"/>
      <c r="D314" s="85"/>
      <c r="E314" s="153" t="s">
        <v>377</v>
      </c>
      <c r="F314" s="87">
        <v>1</v>
      </c>
      <c r="H314" s="88" t="s">
        <v>181</v>
      </c>
      <c r="I314" s="89">
        <f t="shared" si="274"/>
        <v>0</v>
      </c>
      <c r="J314" s="90">
        <f t="shared" si="275"/>
        <v>1</v>
      </c>
      <c r="K314" s="91">
        <v>80</v>
      </c>
      <c r="L314" s="92">
        <f t="shared" si="277"/>
        <v>80</v>
      </c>
      <c r="M314" s="93">
        <f t="shared" si="278"/>
        <v>48.95</v>
      </c>
      <c r="N314" s="94">
        <v>0.55555555555555558</v>
      </c>
      <c r="O314" s="94">
        <f t="shared" si="280"/>
        <v>0.55555555555555558</v>
      </c>
      <c r="P314" s="92">
        <f t="shared" si="281"/>
        <v>27.194444444444446</v>
      </c>
      <c r="Q314" s="95">
        <f t="shared" si="282"/>
        <v>107.19444444444444</v>
      </c>
      <c r="R314" s="116"/>
    </row>
    <row r="315" spans="1:18" ht="18.899999999999999" customHeight="1" x14ac:dyDescent="0.3">
      <c r="A315" s="83" t="str">
        <f>IF(TRIM(H315)&lt;&gt;"",COUNTA(H$9:$H315)&amp;"","")</f>
        <v>206</v>
      </c>
      <c r="B315" s="84" t="s">
        <v>403</v>
      </c>
      <c r="C315" s="84"/>
      <c r="D315" s="85"/>
      <c r="E315" s="153" t="s">
        <v>378</v>
      </c>
      <c r="F315" s="87">
        <v>1</v>
      </c>
      <c r="H315" s="88" t="s">
        <v>181</v>
      </c>
      <c r="I315" s="89">
        <f t="shared" si="274"/>
        <v>0</v>
      </c>
      <c r="J315" s="90">
        <f t="shared" si="275"/>
        <v>1</v>
      </c>
      <c r="K315" s="91">
        <v>108</v>
      </c>
      <c r="L315" s="92">
        <f t="shared" si="277"/>
        <v>108</v>
      </c>
      <c r="M315" s="93">
        <f t="shared" si="278"/>
        <v>48.95</v>
      </c>
      <c r="N315" s="94">
        <v>0.75</v>
      </c>
      <c r="O315" s="94">
        <f t="shared" si="280"/>
        <v>0.75</v>
      </c>
      <c r="P315" s="92">
        <f t="shared" si="281"/>
        <v>36.712500000000006</v>
      </c>
      <c r="Q315" s="95">
        <f t="shared" si="282"/>
        <v>144.71250000000001</v>
      </c>
      <c r="R315" s="116"/>
    </row>
    <row r="316" spans="1:18" ht="27.6" x14ac:dyDescent="0.3">
      <c r="A316" s="83" t="str">
        <f>IF(TRIM(H316)&lt;&gt;"",COUNTA(H$9:$H316)&amp;"","")</f>
        <v>207</v>
      </c>
      <c r="B316" s="84" t="s">
        <v>403</v>
      </c>
      <c r="C316" s="84"/>
      <c r="D316" s="85"/>
      <c r="E316" s="86" t="s">
        <v>379</v>
      </c>
      <c r="F316" s="87">
        <v>1</v>
      </c>
      <c r="H316" s="88" t="s">
        <v>181</v>
      </c>
      <c r="I316" s="89">
        <f t="shared" si="274"/>
        <v>0</v>
      </c>
      <c r="J316" s="90">
        <f t="shared" si="275"/>
        <v>1</v>
      </c>
      <c r="K316" s="91">
        <v>81.599999999999994</v>
      </c>
      <c r="L316" s="92">
        <f t="shared" si="277"/>
        <v>81.599999999999994</v>
      </c>
      <c r="M316" s="93">
        <f t="shared" si="278"/>
        <v>48.95</v>
      </c>
      <c r="N316" s="94">
        <v>0.56666666666666676</v>
      </c>
      <c r="O316" s="94">
        <f t="shared" si="280"/>
        <v>0.56666666666666676</v>
      </c>
      <c r="P316" s="92">
        <f t="shared" si="281"/>
        <v>27.73833333333334</v>
      </c>
      <c r="Q316" s="95">
        <f t="shared" si="282"/>
        <v>109.33833333333334</v>
      </c>
      <c r="R316" s="116"/>
    </row>
    <row r="317" spans="1:18" ht="18.899999999999999" customHeight="1" x14ac:dyDescent="0.3">
      <c r="A317" s="83" t="str">
        <f>IF(TRIM(H317)&lt;&gt;"",COUNTA(H$9:$H317)&amp;"","")</f>
        <v>208</v>
      </c>
      <c r="B317" s="84" t="s">
        <v>403</v>
      </c>
      <c r="C317" s="84"/>
      <c r="D317" s="85"/>
      <c r="E317" s="153" t="s">
        <v>378</v>
      </c>
      <c r="F317" s="87">
        <v>3</v>
      </c>
      <c r="H317" s="88" t="s">
        <v>181</v>
      </c>
      <c r="I317" s="89">
        <f t="shared" si="274"/>
        <v>0</v>
      </c>
      <c r="J317" s="90">
        <f t="shared" si="275"/>
        <v>3</v>
      </c>
      <c r="K317" s="91">
        <v>108</v>
      </c>
      <c r="L317" s="92">
        <f t="shared" si="277"/>
        <v>324</v>
      </c>
      <c r="M317" s="93">
        <f t="shared" si="278"/>
        <v>48.95</v>
      </c>
      <c r="N317" s="94">
        <v>0.75</v>
      </c>
      <c r="O317" s="94">
        <f t="shared" si="280"/>
        <v>2.25</v>
      </c>
      <c r="P317" s="92">
        <f t="shared" si="281"/>
        <v>110.1375</v>
      </c>
      <c r="Q317" s="95">
        <f t="shared" si="282"/>
        <v>434.13749999999999</v>
      </c>
      <c r="R317" s="116"/>
    </row>
    <row r="318" spans="1:18" ht="18.899999999999999" customHeight="1" x14ac:dyDescent="0.3">
      <c r="A318" s="83" t="str">
        <f>IF(TRIM(H318)&lt;&gt;"",COUNTA(H$9:$H318)&amp;"","")</f>
        <v>209</v>
      </c>
      <c r="B318" s="84" t="s">
        <v>403</v>
      </c>
      <c r="C318" s="84"/>
      <c r="D318" s="85"/>
      <c r="E318" s="153" t="s">
        <v>380</v>
      </c>
      <c r="F318" s="87">
        <v>5</v>
      </c>
      <c r="H318" s="88" t="s">
        <v>181</v>
      </c>
      <c r="I318" s="89">
        <f t="shared" si="274"/>
        <v>0</v>
      </c>
      <c r="J318" s="90">
        <f t="shared" si="275"/>
        <v>5</v>
      </c>
      <c r="K318" s="91">
        <v>76</v>
      </c>
      <c r="L318" s="92">
        <f t="shared" si="277"/>
        <v>380</v>
      </c>
      <c r="M318" s="93">
        <f t="shared" si="278"/>
        <v>48.95</v>
      </c>
      <c r="N318" s="94">
        <v>0.52777777777777779</v>
      </c>
      <c r="O318" s="94">
        <f t="shared" si="280"/>
        <v>2.6388888888888888</v>
      </c>
      <c r="P318" s="92">
        <f t="shared" si="281"/>
        <v>129.17361111111111</v>
      </c>
      <c r="Q318" s="95">
        <f t="shared" si="282"/>
        <v>509.17361111111109</v>
      </c>
      <c r="R318" s="116"/>
    </row>
    <row r="319" spans="1:18" ht="27.6" x14ac:dyDescent="0.3">
      <c r="A319" s="83" t="str">
        <f>IF(TRIM(H319)&lt;&gt;"",COUNTA(H$9:$H319)&amp;"","")</f>
        <v>210</v>
      </c>
      <c r="B319" s="84" t="s">
        <v>403</v>
      </c>
      <c r="C319" s="84"/>
      <c r="D319" s="85"/>
      <c r="E319" s="86" t="s">
        <v>381</v>
      </c>
      <c r="F319" s="87">
        <v>2</v>
      </c>
      <c r="H319" s="88" t="s">
        <v>181</v>
      </c>
      <c r="I319" s="89">
        <f t="shared" si="274"/>
        <v>0</v>
      </c>
      <c r="J319" s="90">
        <f t="shared" si="275"/>
        <v>2</v>
      </c>
      <c r="K319" s="91">
        <v>109.6</v>
      </c>
      <c r="L319" s="92">
        <f t="shared" si="277"/>
        <v>219.2</v>
      </c>
      <c r="M319" s="93">
        <f t="shared" si="278"/>
        <v>48.95</v>
      </c>
      <c r="N319" s="94">
        <v>0.76111111111111118</v>
      </c>
      <c r="O319" s="94">
        <f t="shared" si="280"/>
        <v>1.5222222222222224</v>
      </c>
      <c r="P319" s="92">
        <f t="shared" si="281"/>
        <v>74.512777777777785</v>
      </c>
      <c r="Q319" s="95">
        <f t="shared" si="282"/>
        <v>293.71277777777777</v>
      </c>
      <c r="R319" s="116"/>
    </row>
    <row r="320" spans="1:18" x14ac:dyDescent="0.3">
      <c r="A320" s="83" t="str">
        <f>IF(TRIM(H320)&lt;&gt;"",COUNTA(H$9:$H320)&amp;"","")</f>
        <v/>
      </c>
      <c r="B320" s="84"/>
      <c r="C320" s="84"/>
      <c r="D320" s="85"/>
      <c r="E320" s="97"/>
      <c r="F320" s="87"/>
      <c r="H320" s="88"/>
      <c r="I320" s="89" t="str">
        <f t="shared" si="274"/>
        <v/>
      </c>
      <c r="J320" s="90" t="str">
        <f t="shared" si="275"/>
        <v/>
      </c>
      <c r="K320" s="91" t="s">
        <v>407</v>
      </c>
      <c r="L320" s="92" t="str">
        <f t="shared" si="277"/>
        <v/>
      </c>
      <c r="M320" s="93" t="str">
        <f t="shared" si="278"/>
        <v/>
      </c>
      <c r="N320" s="94" t="s">
        <v>407</v>
      </c>
      <c r="O320" s="94" t="str">
        <f t="shared" si="280"/>
        <v/>
      </c>
      <c r="P320" s="92" t="str">
        <f t="shared" si="281"/>
        <v/>
      </c>
      <c r="Q320" s="95" t="str">
        <f t="shared" si="282"/>
        <v/>
      </c>
      <c r="R320" s="116"/>
    </row>
    <row r="321" spans="1:18" ht="15.6" x14ac:dyDescent="0.3">
      <c r="A321" s="83" t="str">
        <f>IF(TRIM(H321)&lt;&gt;"",COUNTA(H$9:$H321)&amp;"","")</f>
        <v/>
      </c>
      <c r="B321" s="84"/>
      <c r="C321" s="84"/>
      <c r="D321" s="85"/>
      <c r="E321" s="160" t="s">
        <v>146</v>
      </c>
      <c r="F321" s="87"/>
      <c r="H321" s="88"/>
      <c r="I321" s="89" t="str">
        <f t="shared" si="274"/>
        <v/>
      </c>
      <c r="J321" s="90" t="str">
        <f t="shared" si="275"/>
        <v/>
      </c>
      <c r="K321" s="91" t="s">
        <v>407</v>
      </c>
      <c r="L321" s="92" t="str">
        <f t="shared" si="277"/>
        <v/>
      </c>
      <c r="M321" s="93" t="str">
        <f t="shared" si="278"/>
        <v/>
      </c>
      <c r="N321" s="94" t="s">
        <v>407</v>
      </c>
      <c r="O321" s="94" t="str">
        <f t="shared" si="280"/>
        <v/>
      </c>
      <c r="P321" s="92" t="str">
        <f t="shared" si="281"/>
        <v/>
      </c>
      <c r="Q321" s="95" t="str">
        <f t="shared" si="282"/>
        <v/>
      </c>
      <c r="R321" s="116"/>
    </row>
    <row r="322" spans="1:18" ht="18.899999999999999" customHeight="1" x14ac:dyDescent="0.3">
      <c r="A322" s="83" t="str">
        <f>IF(TRIM(H322)&lt;&gt;"",COUNTA(H$9:$H322)&amp;"","")</f>
        <v>211</v>
      </c>
      <c r="B322" s="84" t="s">
        <v>403</v>
      </c>
      <c r="C322" s="84"/>
      <c r="D322" s="85"/>
      <c r="E322" s="153" t="s">
        <v>382</v>
      </c>
      <c r="F322" s="87">
        <v>11</v>
      </c>
      <c r="H322" s="88" t="s">
        <v>181</v>
      </c>
      <c r="I322" s="89">
        <f t="shared" si="274"/>
        <v>0</v>
      </c>
      <c r="J322" s="90">
        <f t="shared" si="275"/>
        <v>11</v>
      </c>
      <c r="K322" s="91">
        <v>81.599999999999994</v>
      </c>
      <c r="L322" s="92">
        <f t="shared" si="277"/>
        <v>897.59999999999991</v>
      </c>
      <c r="M322" s="93">
        <f t="shared" si="278"/>
        <v>48.95</v>
      </c>
      <c r="N322" s="94">
        <v>0.56666666666666676</v>
      </c>
      <c r="O322" s="94">
        <f t="shared" si="280"/>
        <v>6.2333333333333343</v>
      </c>
      <c r="P322" s="92">
        <f t="shared" si="281"/>
        <v>305.12166666666673</v>
      </c>
      <c r="Q322" s="95">
        <f t="shared" si="282"/>
        <v>1202.7216666666666</v>
      </c>
      <c r="R322" s="116"/>
    </row>
    <row r="323" spans="1:18" ht="18.899999999999999" customHeight="1" x14ac:dyDescent="0.3">
      <c r="A323" s="83" t="str">
        <f>IF(TRIM(H323)&lt;&gt;"",COUNTA(H$9:$H323)&amp;"","")</f>
        <v>212</v>
      </c>
      <c r="B323" s="84" t="s">
        <v>403</v>
      </c>
      <c r="C323" s="84"/>
      <c r="D323" s="85"/>
      <c r="E323" s="153" t="s">
        <v>383</v>
      </c>
      <c r="F323" s="87">
        <v>9</v>
      </c>
      <c r="H323" s="88" t="s">
        <v>181</v>
      </c>
      <c r="I323" s="89">
        <f t="shared" si="274"/>
        <v>0</v>
      </c>
      <c r="J323" s="90">
        <f t="shared" si="275"/>
        <v>9</v>
      </c>
      <c r="K323" s="91">
        <v>102.4</v>
      </c>
      <c r="L323" s="92">
        <f t="shared" si="277"/>
        <v>921.6</v>
      </c>
      <c r="M323" s="93">
        <f t="shared" si="278"/>
        <v>48.95</v>
      </c>
      <c r="N323" s="94">
        <v>0.71111111111111114</v>
      </c>
      <c r="O323" s="94">
        <f t="shared" si="280"/>
        <v>6.4</v>
      </c>
      <c r="P323" s="92">
        <f t="shared" si="281"/>
        <v>313.28000000000003</v>
      </c>
      <c r="Q323" s="95">
        <f t="shared" si="282"/>
        <v>1234.8800000000001</v>
      </c>
      <c r="R323" s="116"/>
    </row>
    <row r="324" spans="1:18" x14ac:dyDescent="0.3">
      <c r="A324" s="83" t="str">
        <f>IF(TRIM(H324)&lt;&gt;"",COUNTA(H$9:$H324)&amp;"","")</f>
        <v/>
      </c>
      <c r="B324" s="84"/>
      <c r="C324" s="84"/>
      <c r="D324" s="85"/>
      <c r="E324" s="97"/>
      <c r="F324" s="87"/>
      <c r="H324" s="88"/>
      <c r="I324" s="89" t="str">
        <f t="shared" si="274"/>
        <v/>
      </c>
      <c r="J324" s="90" t="str">
        <f t="shared" si="275"/>
        <v/>
      </c>
      <c r="K324" s="91" t="s">
        <v>407</v>
      </c>
      <c r="L324" s="92" t="str">
        <f t="shared" si="277"/>
        <v/>
      </c>
      <c r="M324" s="93" t="str">
        <f t="shared" si="278"/>
        <v/>
      </c>
      <c r="N324" s="94" t="s">
        <v>407</v>
      </c>
      <c r="O324" s="94" t="str">
        <f t="shared" si="280"/>
        <v/>
      </c>
      <c r="P324" s="92" t="str">
        <f t="shared" si="281"/>
        <v/>
      </c>
      <c r="Q324" s="95" t="str">
        <f t="shared" si="282"/>
        <v/>
      </c>
      <c r="R324" s="116"/>
    </row>
    <row r="325" spans="1:18" ht="15.6" x14ac:dyDescent="0.3">
      <c r="A325" s="83" t="str">
        <f>IF(TRIM(H325)&lt;&gt;"",COUNTA(H$9:$H325)&amp;"","")</f>
        <v/>
      </c>
      <c r="B325" s="84"/>
      <c r="C325" s="84"/>
      <c r="D325" s="85"/>
      <c r="E325" s="160" t="s">
        <v>384</v>
      </c>
      <c r="F325" s="87"/>
      <c r="H325" s="88"/>
      <c r="I325" s="89" t="str">
        <f t="shared" si="274"/>
        <v/>
      </c>
      <c r="J325" s="90" t="str">
        <f t="shared" si="275"/>
        <v/>
      </c>
      <c r="K325" s="91" t="s">
        <v>407</v>
      </c>
      <c r="L325" s="92" t="str">
        <f t="shared" si="277"/>
        <v/>
      </c>
      <c r="M325" s="93" t="str">
        <f t="shared" si="278"/>
        <v/>
      </c>
      <c r="N325" s="94" t="s">
        <v>407</v>
      </c>
      <c r="O325" s="94" t="str">
        <f t="shared" si="280"/>
        <v/>
      </c>
      <c r="P325" s="92" t="str">
        <f t="shared" si="281"/>
        <v/>
      </c>
      <c r="Q325" s="95" t="str">
        <f t="shared" si="282"/>
        <v/>
      </c>
      <c r="R325" s="116"/>
    </row>
    <row r="326" spans="1:18" ht="41.4" x14ac:dyDescent="0.3">
      <c r="A326" s="83" t="str">
        <f>IF(TRIM(H326)&lt;&gt;"",COUNTA(H$9:$H326)&amp;"","")</f>
        <v>213</v>
      </c>
      <c r="B326" s="84" t="s">
        <v>403</v>
      </c>
      <c r="C326" s="84"/>
      <c r="D326" s="157"/>
      <c r="E326" s="86" t="s">
        <v>385</v>
      </c>
      <c r="F326" s="87">
        <v>10</v>
      </c>
      <c r="H326" s="88" t="s">
        <v>181</v>
      </c>
      <c r="I326" s="89">
        <f t="shared" si="274"/>
        <v>0</v>
      </c>
      <c r="J326" s="90">
        <f t="shared" si="275"/>
        <v>10</v>
      </c>
      <c r="K326" s="91">
        <v>171.2</v>
      </c>
      <c r="L326" s="92">
        <f t="shared" si="277"/>
        <v>1712</v>
      </c>
      <c r="M326" s="93">
        <f t="shared" si="278"/>
        <v>48.95</v>
      </c>
      <c r="N326" s="94">
        <v>1.2166666666666668</v>
      </c>
      <c r="O326" s="94">
        <f t="shared" si="280"/>
        <v>12.166666666666668</v>
      </c>
      <c r="P326" s="92">
        <f t="shared" si="281"/>
        <v>595.55833333333339</v>
      </c>
      <c r="Q326" s="95">
        <f t="shared" si="282"/>
        <v>2307.5583333333334</v>
      </c>
      <c r="R326" s="116"/>
    </row>
    <row r="327" spans="1:18" ht="27.6" x14ac:dyDescent="0.3">
      <c r="A327" s="83" t="str">
        <f>IF(TRIM(H327)&lt;&gt;"",COUNTA(H$9:$H327)&amp;"","")</f>
        <v>214</v>
      </c>
      <c r="B327" s="84" t="s">
        <v>403</v>
      </c>
      <c r="C327" s="84"/>
      <c r="D327" s="157"/>
      <c r="E327" s="86" t="s">
        <v>386</v>
      </c>
      <c r="F327" s="87">
        <v>6</v>
      </c>
      <c r="H327" s="88" t="s">
        <v>181</v>
      </c>
      <c r="I327" s="89">
        <f t="shared" si="274"/>
        <v>0</v>
      </c>
      <c r="J327" s="90">
        <f t="shared" si="275"/>
        <v>6</v>
      </c>
      <c r="K327" s="91">
        <v>180.8</v>
      </c>
      <c r="L327" s="92">
        <f t="shared" si="277"/>
        <v>1084.8000000000002</v>
      </c>
      <c r="M327" s="93">
        <f t="shared" si="278"/>
        <v>48.95</v>
      </c>
      <c r="N327" s="94">
        <v>1.1500000000000001</v>
      </c>
      <c r="O327" s="94">
        <f t="shared" si="280"/>
        <v>6.9</v>
      </c>
      <c r="P327" s="92">
        <f t="shared" si="281"/>
        <v>337.75500000000005</v>
      </c>
      <c r="Q327" s="95">
        <f t="shared" si="282"/>
        <v>1422.5550000000003</v>
      </c>
      <c r="R327" s="116"/>
    </row>
    <row r="328" spans="1:18" ht="41.4" x14ac:dyDescent="0.3">
      <c r="A328" s="83" t="str">
        <f>IF(TRIM(H328)&lt;&gt;"",COUNTA(H$9:$H328)&amp;"","")</f>
        <v>215</v>
      </c>
      <c r="B328" s="84" t="s">
        <v>403</v>
      </c>
      <c r="C328" s="84"/>
      <c r="D328" s="157"/>
      <c r="E328" s="86" t="s">
        <v>387</v>
      </c>
      <c r="F328" s="87">
        <v>2</v>
      </c>
      <c r="H328" s="88" t="s">
        <v>181</v>
      </c>
      <c r="I328" s="89">
        <f t="shared" si="274"/>
        <v>0</v>
      </c>
      <c r="J328" s="90">
        <f t="shared" si="275"/>
        <v>2</v>
      </c>
      <c r="K328" s="91">
        <v>176</v>
      </c>
      <c r="L328" s="92">
        <f t="shared" si="277"/>
        <v>352</v>
      </c>
      <c r="M328" s="93">
        <f t="shared" si="278"/>
        <v>48.95</v>
      </c>
      <c r="N328" s="94">
        <v>1.1500000000000001</v>
      </c>
      <c r="O328" s="94">
        <f t="shared" si="280"/>
        <v>2.3000000000000003</v>
      </c>
      <c r="P328" s="92">
        <f t="shared" si="281"/>
        <v>112.58500000000002</v>
      </c>
      <c r="Q328" s="95">
        <f t="shared" si="282"/>
        <v>464.58500000000004</v>
      </c>
      <c r="R328" s="116"/>
    </row>
    <row r="329" spans="1:18" ht="27.6" x14ac:dyDescent="0.3">
      <c r="A329" s="83" t="str">
        <f>IF(TRIM(H329)&lt;&gt;"",COUNTA(H$9:$H329)&amp;"","")</f>
        <v>216</v>
      </c>
      <c r="B329" s="84" t="s">
        <v>403</v>
      </c>
      <c r="C329" s="84"/>
      <c r="D329" s="157"/>
      <c r="E329" s="86" t="s">
        <v>388</v>
      </c>
      <c r="F329" s="87">
        <v>2</v>
      </c>
      <c r="H329" s="88" t="s">
        <v>181</v>
      </c>
      <c r="I329" s="89">
        <f t="shared" si="274"/>
        <v>0</v>
      </c>
      <c r="J329" s="90">
        <f t="shared" si="275"/>
        <v>2</v>
      </c>
      <c r="K329" s="91">
        <v>181.6</v>
      </c>
      <c r="L329" s="92">
        <f t="shared" si="277"/>
        <v>363.2</v>
      </c>
      <c r="M329" s="93">
        <f t="shared" si="278"/>
        <v>48.95</v>
      </c>
      <c r="N329" s="94">
        <v>1.2277777777777779</v>
      </c>
      <c r="O329" s="94">
        <f t="shared" si="280"/>
        <v>2.4555555555555557</v>
      </c>
      <c r="P329" s="92">
        <f t="shared" si="281"/>
        <v>120.19944444444445</v>
      </c>
      <c r="Q329" s="95">
        <f t="shared" si="282"/>
        <v>483.39944444444444</v>
      </c>
      <c r="R329" s="116"/>
    </row>
    <row r="330" spans="1:18" ht="27.6" x14ac:dyDescent="0.3">
      <c r="A330" s="83" t="str">
        <f>IF(TRIM(H330)&lt;&gt;"",COUNTA(H$9:$H330)&amp;"","")</f>
        <v>217</v>
      </c>
      <c r="B330" s="84" t="s">
        <v>403</v>
      </c>
      <c r="C330" s="84"/>
      <c r="D330" s="157"/>
      <c r="E330" s="86" t="s">
        <v>389</v>
      </c>
      <c r="F330" s="87">
        <v>1</v>
      </c>
      <c r="H330" s="88" t="s">
        <v>181</v>
      </c>
      <c r="I330" s="89">
        <f t="shared" si="274"/>
        <v>0</v>
      </c>
      <c r="J330" s="90">
        <f t="shared" si="275"/>
        <v>1</v>
      </c>
      <c r="K330" s="91">
        <v>160</v>
      </c>
      <c r="L330" s="92">
        <f t="shared" si="277"/>
        <v>160</v>
      </c>
      <c r="M330" s="93">
        <f t="shared" si="278"/>
        <v>48.95</v>
      </c>
      <c r="N330" s="94">
        <v>1.2333333333333334</v>
      </c>
      <c r="O330" s="94">
        <f t="shared" si="280"/>
        <v>1.2333333333333334</v>
      </c>
      <c r="P330" s="92">
        <f t="shared" si="281"/>
        <v>60.37166666666667</v>
      </c>
      <c r="Q330" s="95">
        <f t="shared" si="282"/>
        <v>220.37166666666667</v>
      </c>
      <c r="R330" s="116"/>
    </row>
    <row r="331" spans="1:18" ht="18.899999999999999" customHeight="1" x14ac:dyDescent="0.3">
      <c r="A331" s="83" t="str">
        <f>IF(TRIM(H331)&lt;&gt;"",COUNTA(H$9:$H331)&amp;"","")</f>
        <v>218</v>
      </c>
      <c r="B331" s="84" t="s">
        <v>403</v>
      </c>
      <c r="C331" s="84"/>
      <c r="D331" s="85"/>
      <c r="E331" s="153" t="s">
        <v>390</v>
      </c>
      <c r="F331" s="87">
        <v>9</v>
      </c>
      <c r="H331" s="88" t="s">
        <v>181</v>
      </c>
      <c r="I331" s="89">
        <f t="shared" si="274"/>
        <v>0</v>
      </c>
      <c r="J331" s="90">
        <f t="shared" si="275"/>
        <v>9</v>
      </c>
      <c r="K331" s="91">
        <v>172.8</v>
      </c>
      <c r="L331" s="92">
        <f t="shared" si="277"/>
        <v>1555.2</v>
      </c>
      <c r="M331" s="93">
        <f t="shared" si="278"/>
        <v>48.95</v>
      </c>
      <c r="N331" s="94">
        <v>1.2000000000000002</v>
      </c>
      <c r="O331" s="94">
        <f t="shared" si="280"/>
        <v>10.8</v>
      </c>
      <c r="P331" s="92">
        <f t="shared" si="281"/>
        <v>528.66000000000008</v>
      </c>
      <c r="Q331" s="95">
        <f t="shared" si="282"/>
        <v>2083.86</v>
      </c>
      <c r="R331" s="116"/>
    </row>
    <row r="332" spans="1:18" ht="18.899999999999999" customHeight="1" x14ac:dyDescent="0.3">
      <c r="A332" s="83" t="str">
        <f>IF(TRIM(H332)&lt;&gt;"",COUNTA(H$9:$H332)&amp;"","")</f>
        <v>219</v>
      </c>
      <c r="B332" s="84" t="s">
        <v>403</v>
      </c>
      <c r="C332" s="84"/>
      <c r="D332" s="85"/>
      <c r="E332" s="153" t="s">
        <v>391</v>
      </c>
      <c r="F332" s="87">
        <v>2</v>
      </c>
      <c r="H332" s="88" t="s">
        <v>181</v>
      </c>
      <c r="I332" s="89">
        <f t="shared" si="274"/>
        <v>0</v>
      </c>
      <c r="J332" s="90">
        <f t="shared" si="275"/>
        <v>2</v>
      </c>
      <c r="K332" s="91">
        <v>176.8</v>
      </c>
      <c r="L332" s="92">
        <f t="shared" si="277"/>
        <v>353.6</v>
      </c>
      <c r="M332" s="93">
        <f t="shared" si="278"/>
        <v>48.95</v>
      </c>
      <c r="N332" s="94">
        <v>1.2666666666666666</v>
      </c>
      <c r="O332" s="94">
        <f t="shared" si="280"/>
        <v>2.5333333333333332</v>
      </c>
      <c r="P332" s="92">
        <f t="shared" si="281"/>
        <v>124.00666666666667</v>
      </c>
      <c r="Q332" s="95">
        <f t="shared" si="282"/>
        <v>477.60666666666668</v>
      </c>
      <c r="R332" s="116"/>
    </row>
    <row r="333" spans="1:18" ht="27.6" x14ac:dyDescent="0.3">
      <c r="A333" s="83" t="str">
        <f>IF(TRIM(H333)&lt;&gt;"",COUNTA(H$9:$H333)&amp;"","")</f>
        <v>220</v>
      </c>
      <c r="B333" s="84" t="s">
        <v>403</v>
      </c>
      <c r="C333" s="84"/>
      <c r="D333" s="157"/>
      <c r="E333" s="86" t="s">
        <v>392</v>
      </c>
      <c r="F333" s="87">
        <v>1</v>
      </c>
      <c r="H333" s="88" t="s">
        <v>181</v>
      </c>
      <c r="I333" s="89">
        <f t="shared" si="274"/>
        <v>0</v>
      </c>
      <c r="J333" s="90">
        <f t="shared" si="275"/>
        <v>1</v>
      </c>
      <c r="K333" s="91">
        <v>164</v>
      </c>
      <c r="L333" s="92">
        <f t="shared" si="277"/>
        <v>164</v>
      </c>
      <c r="M333" s="93">
        <f t="shared" si="278"/>
        <v>48.95</v>
      </c>
      <c r="N333" s="94">
        <v>1.1500000000000001</v>
      </c>
      <c r="O333" s="94">
        <f t="shared" si="280"/>
        <v>1.1500000000000001</v>
      </c>
      <c r="P333" s="92">
        <f t="shared" si="281"/>
        <v>56.292500000000011</v>
      </c>
      <c r="Q333" s="95">
        <f t="shared" si="282"/>
        <v>220.29250000000002</v>
      </c>
      <c r="R333" s="116"/>
    </row>
    <row r="334" spans="1:18" ht="41.4" x14ac:dyDescent="0.3">
      <c r="A334" s="83" t="str">
        <f>IF(TRIM(H334)&lt;&gt;"",COUNTA(H$9:$H334)&amp;"","")</f>
        <v>221</v>
      </c>
      <c r="B334" s="84" t="s">
        <v>403</v>
      </c>
      <c r="C334" s="84"/>
      <c r="D334" s="157"/>
      <c r="E334" s="86" t="s">
        <v>393</v>
      </c>
      <c r="F334" s="87">
        <v>31.41</v>
      </c>
      <c r="H334" s="88" t="s">
        <v>159</v>
      </c>
      <c r="I334" s="89">
        <f t="shared" si="274"/>
        <v>0</v>
      </c>
      <c r="J334" s="90">
        <f t="shared" si="275"/>
        <v>31.41</v>
      </c>
      <c r="K334" s="91">
        <v>7.5</v>
      </c>
      <c r="L334" s="92">
        <f t="shared" si="277"/>
        <v>235.57499999999999</v>
      </c>
      <c r="M334" s="93">
        <f t="shared" si="278"/>
        <v>48.95</v>
      </c>
      <c r="N334" s="94">
        <v>0.1388888888888889</v>
      </c>
      <c r="O334" s="94">
        <f t="shared" si="280"/>
        <v>4.3624999999999998</v>
      </c>
      <c r="P334" s="92">
        <f t="shared" si="281"/>
        <v>213.544375</v>
      </c>
      <c r="Q334" s="95">
        <f t="shared" si="282"/>
        <v>449.11937499999999</v>
      </c>
      <c r="R334" s="116"/>
    </row>
    <row r="335" spans="1:18" x14ac:dyDescent="0.3">
      <c r="A335" s="83" t="str">
        <f>IF(TRIM(H335)&lt;&gt;"",COUNTA(H$9:$H335)&amp;"","")</f>
        <v/>
      </c>
      <c r="B335" s="84"/>
      <c r="C335" s="84"/>
      <c r="D335" s="85"/>
      <c r="E335" s="97"/>
      <c r="F335" s="87"/>
      <c r="H335" s="88"/>
      <c r="I335" s="89" t="str">
        <f t="shared" si="274"/>
        <v/>
      </c>
      <c r="J335" s="90" t="str">
        <f t="shared" si="275"/>
        <v/>
      </c>
      <c r="K335" s="91" t="s">
        <v>407</v>
      </c>
      <c r="L335" s="92" t="str">
        <f t="shared" si="277"/>
        <v/>
      </c>
      <c r="M335" s="93" t="str">
        <f t="shared" si="278"/>
        <v/>
      </c>
      <c r="N335" s="94" t="s">
        <v>407</v>
      </c>
      <c r="O335" s="94" t="str">
        <f t="shared" si="280"/>
        <v/>
      </c>
      <c r="P335" s="92" t="str">
        <f t="shared" si="281"/>
        <v/>
      </c>
      <c r="Q335" s="95" t="str">
        <f t="shared" si="282"/>
        <v/>
      </c>
      <c r="R335" s="116"/>
    </row>
    <row r="336" spans="1:18" ht="15.6" x14ac:dyDescent="0.3">
      <c r="A336" s="83" t="str">
        <f>IF(TRIM(H336)&lt;&gt;"",COUNTA(H$9:$H336)&amp;"","")</f>
        <v/>
      </c>
      <c r="B336" s="84"/>
      <c r="C336" s="84"/>
      <c r="D336" s="85"/>
      <c r="E336" s="160" t="s">
        <v>147</v>
      </c>
      <c r="F336" s="87"/>
      <c r="H336" s="88"/>
      <c r="I336" s="89" t="str">
        <f t="shared" si="274"/>
        <v/>
      </c>
      <c r="J336" s="90" t="str">
        <f t="shared" si="275"/>
        <v/>
      </c>
      <c r="K336" s="91" t="s">
        <v>407</v>
      </c>
      <c r="L336" s="92" t="str">
        <f t="shared" si="277"/>
        <v/>
      </c>
      <c r="M336" s="93" t="str">
        <f t="shared" si="278"/>
        <v/>
      </c>
      <c r="N336" s="94" t="s">
        <v>407</v>
      </c>
      <c r="O336" s="94" t="str">
        <f t="shared" si="280"/>
        <v/>
      </c>
      <c r="P336" s="92" t="str">
        <f t="shared" si="281"/>
        <v/>
      </c>
      <c r="Q336" s="95" t="str">
        <f t="shared" si="282"/>
        <v/>
      </c>
      <c r="R336" s="116"/>
    </row>
    <row r="337" spans="1:23" ht="18.899999999999999" customHeight="1" x14ac:dyDescent="0.3">
      <c r="A337" s="83" t="str">
        <f>IF(TRIM(H337)&lt;&gt;"",COUNTA(H$9:$H337)&amp;"","")</f>
        <v/>
      </c>
      <c r="B337" s="84"/>
      <c r="C337" s="84"/>
      <c r="D337" s="85"/>
      <c r="E337" s="121" t="s">
        <v>138</v>
      </c>
      <c r="F337" s="87"/>
      <c r="H337" s="88"/>
      <c r="I337" s="89" t="str">
        <f t="shared" si="274"/>
        <v/>
      </c>
      <c r="J337" s="90" t="str">
        <f t="shared" si="275"/>
        <v/>
      </c>
      <c r="K337" s="91" t="s">
        <v>407</v>
      </c>
      <c r="L337" s="92" t="str">
        <f t="shared" si="277"/>
        <v/>
      </c>
      <c r="M337" s="93" t="str">
        <f t="shared" si="278"/>
        <v/>
      </c>
      <c r="N337" s="94" t="s">
        <v>407</v>
      </c>
      <c r="O337" s="94" t="str">
        <f t="shared" si="280"/>
        <v/>
      </c>
      <c r="P337" s="92" t="str">
        <f t="shared" si="281"/>
        <v/>
      </c>
      <c r="Q337" s="95" t="str">
        <f t="shared" si="282"/>
        <v/>
      </c>
      <c r="R337" s="116"/>
    </row>
    <row r="338" spans="1:23" ht="18.899999999999999" customHeight="1" x14ac:dyDescent="0.3">
      <c r="A338" s="83" t="str">
        <f>IF(TRIM(H338)&lt;&gt;"",COUNTA(H$9:$H338)&amp;"","")</f>
        <v>222</v>
      </c>
      <c r="B338" s="84" t="s">
        <v>403</v>
      </c>
      <c r="C338" s="84"/>
      <c r="D338" s="85"/>
      <c r="E338" s="86" t="s">
        <v>371</v>
      </c>
      <c r="F338" s="87">
        <v>48</v>
      </c>
      <c r="H338" s="88" t="s">
        <v>159</v>
      </c>
      <c r="I338" s="89">
        <v>0.05</v>
      </c>
      <c r="J338" s="90">
        <f t="shared" si="275"/>
        <v>50.4</v>
      </c>
      <c r="K338" s="91">
        <v>2.016</v>
      </c>
      <c r="L338" s="92">
        <f t="shared" si="277"/>
        <v>101.60639999999999</v>
      </c>
      <c r="M338" s="93">
        <f t="shared" si="278"/>
        <v>48.95</v>
      </c>
      <c r="N338" s="94">
        <v>3.7333333333333336E-2</v>
      </c>
      <c r="O338" s="94">
        <f t="shared" si="280"/>
        <v>1.8816000000000002</v>
      </c>
      <c r="P338" s="92">
        <f t="shared" si="281"/>
        <v>92.104320000000016</v>
      </c>
      <c r="Q338" s="95">
        <f t="shared" si="282"/>
        <v>193.71072000000001</v>
      </c>
      <c r="R338" s="116"/>
    </row>
    <row r="339" spans="1:23" ht="18.899999999999999" customHeight="1" x14ac:dyDescent="0.3">
      <c r="A339" s="83" t="str">
        <f>IF(TRIM(H339)&lt;&gt;"",COUNTA(H$9:$H339)&amp;"","")</f>
        <v>223</v>
      </c>
      <c r="B339" s="84" t="s">
        <v>403</v>
      </c>
      <c r="C339" s="84"/>
      <c r="D339" s="85"/>
      <c r="E339" s="86" t="s">
        <v>394</v>
      </c>
      <c r="F339" s="87">
        <v>48</v>
      </c>
      <c r="H339" s="88" t="s">
        <v>159</v>
      </c>
      <c r="I339" s="89">
        <v>0.1</v>
      </c>
      <c r="J339" s="90">
        <f t="shared" si="275"/>
        <v>52.8</v>
      </c>
      <c r="K339" s="91">
        <v>0.66</v>
      </c>
      <c r="L339" s="92">
        <f t="shared" si="277"/>
        <v>34.847999999999999</v>
      </c>
      <c r="M339" s="93">
        <f t="shared" si="278"/>
        <v>48.95</v>
      </c>
      <c r="N339" s="94">
        <v>1.2222222222222225E-2</v>
      </c>
      <c r="O339" s="94">
        <f t="shared" si="280"/>
        <v>0.64533333333333343</v>
      </c>
      <c r="P339" s="92">
        <f t="shared" si="281"/>
        <v>31.589066666666675</v>
      </c>
      <c r="Q339" s="95">
        <f t="shared" si="282"/>
        <v>66.437066666666681</v>
      </c>
      <c r="R339" s="116"/>
    </row>
    <row r="340" spans="1:23" ht="18.899999999999999" customHeight="1" x14ac:dyDescent="0.3">
      <c r="A340" s="83" t="str">
        <f>IF(TRIM(H340)&lt;&gt;"",COUNTA(H$9:$H340)&amp;"","")</f>
        <v/>
      </c>
      <c r="B340" s="84"/>
      <c r="C340" s="84"/>
      <c r="D340" s="85"/>
      <c r="E340" s="97"/>
      <c r="F340" s="87"/>
      <c r="H340" s="88"/>
      <c r="I340" s="89" t="str">
        <f t="shared" si="274"/>
        <v/>
      </c>
      <c r="J340" s="90" t="str">
        <f t="shared" si="275"/>
        <v/>
      </c>
      <c r="K340" s="91" t="s">
        <v>407</v>
      </c>
      <c r="L340" s="92" t="str">
        <f t="shared" si="277"/>
        <v/>
      </c>
      <c r="M340" s="93" t="str">
        <f t="shared" si="278"/>
        <v/>
      </c>
      <c r="N340" s="94" t="s">
        <v>407</v>
      </c>
      <c r="O340" s="94" t="str">
        <f t="shared" si="280"/>
        <v/>
      </c>
      <c r="P340" s="92" t="str">
        <f t="shared" si="281"/>
        <v/>
      </c>
      <c r="Q340" s="95" t="str">
        <f t="shared" si="282"/>
        <v/>
      </c>
      <c r="R340" s="116"/>
    </row>
    <row r="341" spans="1:23" ht="18.899999999999999" customHeight="1" x14ac:dyDescent="0.3">
      <c r="A341" s="83" t="str">
        <f>IF(TRIM(H341)&lt;&gt;"",COUNTA(H$9:$H341)&amp;"","")</f>
        <v/>
      </c>
      <c r="B341" s="84"/>
      <c r="C341" s="84"/>
      <c r="D341" s="85"/>
      <c r="E341" s="121" t="s">
        <v>145</v>
      </c>
      <c r="F341" s="87"/>
      <c r="H341" s="88"/>
      <c r="I341" s="89" t="str">
        <f t="shared" si="274"/>
        <v/>
      </c>
      <c r="J341" s="90" t="str">
        <f t="shared" si="275"/>
        <v/>
      </c>
      <c r="K341" s="91" t="s">
        <v>407</v>
      </c>
      <c r="L341" s="92" t="str">
        <f t="shared" si="277"/>
        <v/>
      </c>
      <c r="M341" s="93" t="str">
        <f t="shared" si="278"/>
        <v/>
      </c>
      <c r="N341" s="94" t="s">
        <v>407</v>
      </c>
      <c r="O341" s="94" t="str">
        <f t="shared" si="280"/>
        <v/>
      </c>
      <c r="P341" s="92" t="str">
        <f t="shared" si="281"/>
        <v/>
      </c>
      <c r="Q341" s="95" t="str">
        <f t="shared" si="282"/>
        <v/>
      </c>
      <c r="R341" s="116"/>
    </row>
    <row r="342" spans="1:23" ht="18.899999999999999" customHeight="1" x14ac:dyDescent="0.3">
      <c r="A342" s="83" t="str">
        <f>IF(TRIM(H342)&lt;&gt;"",COUNTA(H$9:$H342)&amp;"","")</f>
        <v>224</v>
      </c>
      <c r="B342" s="84" t="s">
        <v>403</v>
      </c>
      <c r="C342" s="84"/>
      <c r="D342" s="85"/>
      <c r="E342" s="97" t="s">
        <v>395</v>
      </c>
      <c r="F342" s="87">
        <v>4</v>
      </c>
      <c r="H342" s="88" t="s">
        <v>181</v>
      </c>
      <c r="I342" s="89">
        <f t="shared" si="274"/>
        <v>0</v>
      </c>
      <c r="J342" s="90">
        <f t="shared" si="275"/>
        <v>4</v>
      </c>
      <c r="K342" s="91">
        <v>140</v>
      </c>
      <c r="L342" s="92">
        <f t="shared" si="277"/>
        <v>560</v>
      </c>
      <c r="M342" s="93">
        <f t="shared" si="278"/>
        <v>48.95</v>
      </c>
      <c r="N342" s="94">
        <v>0.97222222222222221</v>
      </c>
      <c r="O342" s="94">
        <f t="shared" si="280"/>
        <v>3.8888888888888888</v>
      </c>
      <c r="P342" s="92">
        <f t="shared" si="281"/>
        <v>190.36111111111111</v>
      </c>
      <c r="Q342" s="95">
        <f t="shared" si="282"/>
        <v>750.36111111111109</v>
      </c>
      <c r="R342" s="116"/>
    </row>
    <row r="343" spans="1:23" ht="18.899999999999999" customHeight="1" x14ac:dyDescent="0.3">
      <c r="A343" s="83" t="str">
        <f>IF(TRIM(H343)&lt;&gt;"",COUNTA(H$9:$H343)&amp;"","")</f>
        <v>225</v>
      </c>
      <c r="B343" s="84" t="s">
        <v>403</v>
      </c>
      <c r="C343" s="84"/>
      <c r="D343" s="85"/>
      <c r="E343" s="97" t="s">
        <v>396</v>
      </c>
      <c r="F343" s="87">
        <v>4</v>
      </c>
      <c r="H343" s="88" t="s">
        <v>181</v>
      </c>
      <c r="I343" s="89">
        <f t="shared" si="274"/>
        <v>0</v>
      </c>
      <c r="J343" s="90">
        <f t="shared" si="275"/>
        <v>4</v>
      </c>
      <c r="K343" s="91">
        <v>70.846400000000003</v>
      </c>
      <c r="L343" s="92">
        <f t="shared" si="277"/>
        <v>283.38560000000001</v>
      </c>
      <c r="M343" s="93">
        <f t="shared" si="278"/>
        <v>48.95</v>
      </c>
      <c r="N343" s="94">
        <v>0.49198888888888892</v>
      </c>
      <c r="O343" s="94">
        <f t="shared" si="280"/>
        <v>1.9679555555555557</v>
      </c>
      <c r="P343" s="92">
        <f t="shared" si="281"/>
        <v>96.331424444444451</v>
      </c>
      <c r="Q343" s="95">
        <f t="shared" si="282"/>
        <v>379.71702444444446</v>
      </c>
      <c r="R343" s="116"/>
    </row>
    <row r="344" spans="1:23" ht="18.899999999999999" customHeight="1" x14ac:dyDescent="0.3">
      <c r="A344" s="83" t="str">
        <f>IF(TRIM(H344)&lt;&gt;"",COUNTA(H$9:$H344)&amp;"","")</f>
        <v/>
      </c>
      <c r="B344" s="98"/>
      <c r="C344" s="98"/>
      <c r="D344" s="85"/>
      <c r="E344" s="99"/>
      <c r="F344" s="87"/>
      <c r="H344" s="88"/>
      <c r="I344" s="89" t="str">
        <f t="shared" si="274"/>
        <v/>
      </c>
      <c r="J344" s="90" t="str">
        <f t="shared" si="275"/>
        <v/>
      </c>
      <c r="K344" s="91" t="str">
        <f t="shared" si="276"/>
        <v/>
      </c>
      <c r="L344" s="92" t="str">
        <f t="shared" si="277"/>
        <v/>
      </c>
      <c r="M344" s="93" t="str">
        <f t="shared" si="278"/>
        <v/>
      </c>
      <c r="N344" s="94" t="str">
        <f t="shared" si="279"/>
        <v/>
      </c>
      <c r="O344" s="94" t="str">
        <f t="shared" si="280"/>
        <v/>
      </c>
      <c r="P344" s="92" t="str">
        <f t="shared" si="281"/>
        <v/>
      </c>
      <c r="Q344" s="95" t="str">
        <f t="shared" si="282"/>
        <v/>
      </c>
      <c r="R344" s="116"/>
    </row>
    <row r="345" spans="1:23" ht="15.6" x14ac:dyDescent="0.3">
      <c r="A345" s="83" t="str">
        <f>IF(TRIM(H345)&lt;&gt;"",COUNTA(H$9:$H345)&amp;"","")</f>
        <v/>
      </c>
      <c r="B345" s="84"/>
      <c r="C345" s="84"/>
      <c r="D345" s="85"/>
      <c r="E345" s="161" t="s">
        <v>313</v>
      </c>
      <c r="F345" s="87"/>
      <c r="H345" s="88"/>
      <c r="I345" s="89" t="str">
        <f t="shared" si="274"/>
        <v/>
      </c>
      <c r="J345" s="90" t="str">
        <f t="shared" si="275"/>
        <v/>
      </c>
      <c r="K345" s="91" t="str">
        <f t="shared" si="276"/>
        <v/>
      </c>
      <c r="L345" s="92" t="str">
        <f t="shared" si="277"/>
        <v/>
      </c>
      <c r="M345" s="93" t="str">
        <f t="shared" si="278"/>
        <v/>
      </c>
      <c r="N345" s="94" t="str">
        <f t="shared" si="279"/>
        <v/>
      </c>
      <c r="O345" s="94" t="str">
        <f t="shared" si="280"/>
        <v/>
      </c>
      <c r="P345" s="92" t="str">
        <f t="shared" si="281"/>
        <v/>
      </c>
      <c r="Q345" s="95" t="str">
        <f t="shared" si="282"/>
        <v/>
      </c>
      <c r="R345" s="116"/>
    </row>
    <row r="346" spans="1:23" ht="18.899999999999999" customHeight="1" x14ac:dyDescent="0.3">
      <c r="A346" s="83" t="str">
        <f>IF(TRIM(H346)&lt;&gt;"",COUNTA(H$9:$H346)&amp;"","")</f>
        <v/>
      </c>
      <c r="B346" s="84"/>
      <c r="C346" s="84"/>
      <c r="D346" s="85"/>
      <c r="E346" s="158" t="s">
        <v>397</v>
      </c>
      <c r="F346" s="87"/>
      <c r="H346" s="88"/>
      <c r="I346" s="89" t="str">
        <f t="shared" si="274"/>
        <v/>
      </c>
      <c r="J346" s="90" t="str">
        <f t="shared" si="275"/>
        <v/>
      </c>
      <c r="K346" s="91" t="str">
        <f t="shared" si="276"/>
        <v/>
      </c>
      <c r="L346" s="92" t="str">
        <f t="shared" si="277"/>
        <v/>
      </c>
      <c r="M346" s="93" t="str">
        <f t="shared" si="278"/>
        <v/>
      </c>
      <c r="N346" s="94" t="str">
        <f t="shared" si="279"/>
        <v/>
      </c>
      <c r="O346" s="94" t="str">
        <f t="shared" si="280"/>
        <v/>
      </c>
      <c r="P346" s="92" t="str">
        <f t="shared" si="281"/>
        <v/>
      </c>
      <c r="Q346" s="95" t="str">
        <f t="shared" si="282"/>
        <v/>
      </c>
      <c r="R346" s="116"/>
    </row>
    <row r="347" spans="1:23" ht="15" thickBot="1" x14ac:dyDescent="0.35">
      <c r="A347" s="83" t="str">
        <f>IF(TRIM(H347)&lt;&gt;"",COUNTA(H$9:$H347)&amp;"","")</f>
        <v/>
      </c>
      <c r="B347" s="98"/>
      <c r="C347" s="98"/>
      <c r="D347" s="85"/>
      <c r="E347" s="99"/>
      <c r="F347" s="87"/>
      <c r="H347" s="88"/>
      <c r="I347" s="89" t="str">
        <f t="shared" si="274"/>
        <v/>
      </c>
      <c r="J347" s="90" t="str">
        <f t="shared" si="275"/>
        <v/>
      </c>
      <c r="K347" s="91" t="str">
        <f t="shared" si="276"/>
        <v/>
      </c>
      <c r="L347" s="92" t="str">
        <f t="shared" si="277"/>
        <v/>
      </c>
      <c r="M347" s="93" t="str">
        <f t="shared" si="278"/>
        <v/>
      </c>
      <c r="N347" s="94" t="str">
        <f t="shared" si="279"/>
        <v/>
      </c>
      <c r="O347" s="94" t="str">
        <f t="shared" si="280"/>
        <v/>
      </c>
      <c r="P347" s="92" t="str">
        <f t="shared" si="281"/>
        <v/>
      </c>
      <c r="Q347" s="95" t="str">
        <f t="shared" si="282"/>
        <v/>
      </c>
      <c r="R347" s="116"/>
    </row>
    <row r="348" spans="1:23" s="111" customFormat="1" ht="16.2" thickBot="1" x14ac:dyDescent="0.35">
      <c r="A348" s="83" t="str">
        <f>IF(TRIM(H348)&lt;&gt;"",COUNTA(H$9:$H348)&amp;"","")</f>
        <v/>
      </c>
      <c r="B348" s="118"/>
      <c r="C348" s="118"/>
      <c r="D348" s="119"/>
      <c r="E348" s="102"/>
      <c r="F348" s="87"/>
      <c r="H348" s="120"/>
      <c r="I348" s="105" t="s">
        <v>12</v>
      </c>
      <c r="J348" s="106"/>
      <c r="K348" s="107">
        <f>SUM(L$292:L$347)</f>
        <v>14619.049288000004</v>
      </c>
      <c r="L348" s="198" t="s">
        <v>13</v>
      </c>
      <c r="M348" s="199"/>
      <c r="N348" s="108">
        <f>SUM(P$292:P$347)</f>
        <v>6662.3971194000023</v>
      </c>
      <c r="O348" s="198" t="s">
        <v>42</v>
      </c>
      <c r="P348" s="199"/>
      <c r="Q348" s="109">
        <f>SUM(O$292:O$347)</f>
        <v>136.10617200000002</v>
      </c>
      <c r="R348" s="110">
        <f>SUM(Q$292:Q$347)</f>
        <v>21281.446407399995</v>
      </c>
      <c r="S348" s="64"/>
      <c r="T348" s="64"/>
      <c r="U348" s="64"/>
      <c r="V348" s="64"/>
      <c r="W348" s="64"/>
    </row>
    <row r="349" spans="1:23" ht="15" thickBot="1" x14ac:dyDescent="0.35">
      <c r="A349" s="83" t="str">
        <f>IF(TRIM(H349)&lt;&gt;"",COUNTA(H$9:$H349)&amp;"","")</f>
        <v/>
      </c>
      <c r="B349" s="98"/>
      <c r="C349" s="98"/>
      <c r="D349" s="122"/>
      <c r="E349" s="99"/>
      <c r="F349" s="87"/>
      <c r="H349" s="88"/>
      <c r="I349" s="89" t="str">
        <f>IF(F349=0,"",0)</f>
        <v/>
      </c>
      <c r="J349" s="90" t="str">
        <f t="shared" ref="J349" si="283">IF(F349=0,"",F349+(F349*I349))</f>
        <v/>
      </c>
      <c r="K349" s="91" t="str">
        <f>IF(F349=0,"",0)</f>
        <v/>
      </c>
      <c r="L349" s="92" t="str">
        <f>IF(F349=0,"",K349*J349)</f>
        <v/>
      </c>
      <c r="M349" s="93" t="str">
        <f>IF(F349=0,"",M$7)</f>
        <v/>
      </c>
      <c r="N349" s="94" t="str">
        <f>IF(F349=0,"",0)</f>
        <v/>
      </c>
      <c r="O349" s="94" t="str">
        <f>IF(F349=0,"",N349*J349)</f>
        <v/>
      </c>
      <c r="P349" s="92" t="str">
        <f>IF(F349=0,"",O349*M349)</f>
        <v/>
      </c>
      <c r="Q349" s="95" t="str">
        <f>IF(F349=0,"",L349+P349)</f>
        <v/>
      </c>
      <c r="R349" s="96"/>
    </row>
    <row r="350" spans="1:23" s="111" customFormat="1" ht="16.2" thickBot="1" x14ac:dyDescent="0.35">
      <c r="A350" s="83" t="str">
        <f>IF(TRIM(H350)&lt;&gt;"",COUNTA(H$9:$H350)&amp;"","")</f>
        <v/>
      </c>
      <c r="B350" s="100"/>
      <c r="C350" s="100"/>
      <c r="D350" s="101"/>
      <c r="E350" s="102"/>
      <c r="F350" s="103"/>
      <c r="H350" s="104"/>
      <c r="I350" s="203" t="s">
        <v>156</v>
      </c>
      <c r="J350" s="204"/>
      <c r="K350" s="162">
        <f>SUM(L$8:L$349)</f>
        <v>107067.52412138805</v>
      </c>
      <c r="L350" s="196" t="s">
        <v>157</v>
      </c>
      <c r="M350" s="197"/>
      <c r="N350" s="169">
        <f>SUM(P$8:P$349)</f>
        <v>87731.257952608707</v>
      </c>
      <c r="O350" s="196" t="s">
        <v>158</v>
      </c>
      <c r="P350" s="197"/>
      <c r="Q350" s="169">
        <f>SUM(O$8:O$349)</f>
        <v>1397.9827978061012</v>
      </c>
      <c r="R350" s="169">
        <f>SUM(R$8:R$349)</f>
        <v>194798.78207399658</v>
      </c>
    </row>
    <row r="351" spans="1:23" ht="15" thickBot="1" x14ac:dyDescent="0.35">
      <c r="A351" s="83" t="str">
        <f>IF(TRIM(H351)&lt;&gt;"",COUNTA(H$9:$H351)&amp;"","")</f>
        <v/>
      </c>
      <c r="B351" s="84"/>
      <c r="C351" s="84"/>
      <c r="D351" s="114"/>
      <c r="E351" s="86"/>
      <c r="F351" s="87"/>
      <c r="H351" s="88"/>
      <c r="I351" s="89" t="str">
        <f>IF(F351=0,"",0)</f>
        <v/>
      </c>
      <c r="J351" s="90" t="str">
        <f t="shared" ref="J351" si="284">IF(F351=0,"",F351+(F351*I351))</f>
        <v/>
      </c>
      <c r="K351" s="91" t="str">
        <f>IF(F351=0,"",0)</f>
        <v/>
      </c>
      <c r="L351" s="92" t="str">
        <f>IF(F351=0,"",K351*J351)</f>
        <v/>
      </c>
      <c r="M351" s="93" t="str">
        <f>IF(F351=0,"",M$7)</f>
        <v/>
      </c>
      <c r="N351" s="94" t="str">
        <f>IF(F351=0,"",0)</f>
        <v/>
      </c>
      <c r="O351" s="94" t="str">
        <f>IF(F351=0,"",N351*J351)</f>
        <v/>
      </c>
      <c r="P351" s="92" t="str">
        <f>IF(F351=0,"",O351*M351)</f>
        <v/>
      </c>
      <c r="Q351" s="95" t="str">
        <f>IF(F351=0,"",L351+P351)</f>
        <v/>
      </c>
      <c r="R351" s="96"/>
    </row>
    <row r="352" spans="1:23" ht="20.100000000000001" customHeight="1" thickBot="1" x14ac:dyDescent="0.35">
      <c r="A352" s="200" t="s">
        <v>26</v>
      </c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O352" s="201"/>
      <c r="P352" s="201"/>
      <c r="Q352" s="202"/>
      <c r="R352" s="123">
        <f>SUM(L$9:$L$351)</f>
        <v>107067.52412138805</v>
      </c>
    </row>
    <row r="353" spans="1:18" ht="20.100000000000001" customHeight="1" thickBot="1" x14ac:dyDescent="0.35">
      <c r="A353" s="200" t="s">
        <v>27</v>
      </c>
      <c r="B353" s="201"/>
      <c r="C353" s="201"/>
      <c r="D353" s="201"/>
      <c r="E353" s="201"/>
      <c r="F353" s="201"/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2"/>
      <c r="R353" s="123">
        <f>SUM(P$9:P$351)</f>
        <v>87731.257952608707</v>
      </c>
    </row>
    <row r="354" spans="1:18" ht="20.100000000000001" customHeight="1" thickBot="1" x14ac:dyDescent="0.35">
      <c r="A354" s="200" t="s">
        <v>152</v>
      </c>
      <c r="B354" s="201"/>
      <c r="C354" s="201"/>
      <c r="D354" s="201"/>
      <c r="E354" s="201"/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2"/>
      <c r="R354" s="124">
        <f>SUM(O$9:O$351)</f>
        <v>1397.9827978061012</v>
      </c>
    </row>
    <row r="355" spans="1:18" ht="17.399999999999999" x14ac:dyDescent="0.3">
      <c r="A355" s="125"/>
      <c r="B355" s="126" t="s">
        <v>109</v>
      </c>
      <c r="C355" s="127"/>
      <c r="D355" s="128"/>
      <c r="E355" s="126"/>
      <c r="F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30"/>
    </row>
    <row r="356" spans="1:18" s="132" customFormat="1" ht="18" customHeight="1" x14ac:dyDescent="0.3">
      <c r="A356" s="131">
        <v>1</v>
      </c>
      <c r="B356" s="205" t="s">
        <v>172</v>
      </c>
      <c r="C356" s="205"/>
      <c r="D356" s="205"/>
      <c r="E356" s="205"/>
      <c r="F356" s="205"/>
      <c r="G356" s="205"/>
      <c r="H356" s="205"/>
      <c r="I356" s="205"/>
      <c r="J356" s="205"/>
      <c r="K356" s="205"/>
      <c r="L356" s="205"/>
      <c r="M356" s="205"/>
      <c r="N356" s="205"/>
      <c r="O356" s="205"/>
      <c r="P356" s="205"/>
      <c r="Q356" s="205"/>
      <c r="R356" s="205"/>
    </row>
    <row r="357" spans="1:18" s="132" customFormat="1" ht="18" customHeight="1" x14ac:dyDescent="0.3">
      <c r="A357" s="131">
        <v>2</v>
      </c>
      <c r="B357" s="205" t="s">
        <v>173</v>
      </c>
      <c r="C357" s="205"/>
      <c r="D357" s="205"/>
      <c r="E357" s="205"/>
      <c r="F357" s="205"/>
      <c r="G357" s="205"/>
      <c r="H357" s="205"/>
      <c r="I357" s="205"/>
      <c r="J357" s="205"/>
      <c r="K357" s="205"/>
      <c r="L357" s="205"/>
      <c r="M357" s="205"/>
      <c r="N357" s="205"/>
      <c r="O357" s="205"/>
      <c r="P357" s="205"/>
      <c r="Q357" s="205"/>
      <c r="R357" s="205"/>
    </row>
    <row r="358" spans="1:18" s="132" customFormat="1" ht="18" customHeight="1" x14ac:dyDescent="0.3">
      <c r="A358" s="131">
        <v>3</v>
      </c>
      <c r="B358" s="205" t="s">
        <v>111</v>
      </c>
      <c r="C358" s="205"/>
      <c r="D358" s="205"/>
      <c r="E358" s="205"/>
      <c r="F358" s="205"/>
      <c r="G358" s="205"/>
      <c r="H358" s="205"/>
      <c r="I358" s="205"/>
      <c r="J358" s="205"/>
      <c r="K358" s="205"/>
      <c r="L358" s="205"/>
      <c r="M358" s="205"/>
      <c r="N358" s="205"/>
      <c r="O358" s="205"/>
      <c r="P358" s="205"/>
      <c r="Q358" s="205"/>
      <c r="R358" s="205"/>
    </row>
    <row r="359" spans="1:18" s="132" customFormat="1" ht="18" customHeight="1" x14ac:dyDescent="0.3">
      <c r="A359" s="131">
        <v>4</v>
      </c>
      <c r="B359" s="205" t="s">
        <v>174</v>
      </c>
      <c r="C359" s="205"/>
      <c r="D359" s="205"/>
      <c r="E359" s="205"/>
      <c r="F359" s="205"/>
      <c r="G359" s="205"/>
      <c r="H359" s="205"/>
      <c r="I359" s="205"/>
      <c r="J359" s="205"/>
      <c r="K359" s="205"/>
      <c r="L359" s="205"/>
      <c r="M359" s="205"/>
      <c r="N359" s="205"/>
      <c r="O359" s="205"/>
      <c r="P359" s="205"/>
      <c r="Q359" s="205"/>
      <c r="R359" s="205"/>
    </row>
    <row r="360" spans="1:18" ht="21" thickBot="1" x14ac:dyDescent="0.35">
      <c r="A360" s="133"/>
      <c r="B360" s="134"/>
      <c r="C360" s="134"/>
      <c r="D360" s="135"/>
      <c r="E360" s="194"/>
      <c r="F360" s="194"/>
      <c r="G360" s="194"/>
      <c r="H360" s="194"/>
      <c r="I360" s="194"/>
      <c r="J360" s="194"/>
      <c r="K360" s="194"/>
      <c r="L360" s="194"/>
      <c r="M360" s="194"/>
      <c r="N360" s="194"/>
      <c r="O360" s="194"/>
      <c r="P360" s="194"/>
      <c r="Q360" s="194"/>
      <c r="R360" s="195"/>
    </row>
  </sheetData>
  <mergeCells count="80">
    <mergeCell ref="A1:D3"/>
    <mergeCell ref="A4:D5"/>
    <mergeCell ref="E3:M3"/>
    <mergeCell ref="P1:R1"/>
    <mergeCell ref="P2:R2"/>
    <mergeCell ref="P3:R3"/>
    <mergeCell ref="P4:R4"/>
    <mergeCell ref="N3:O3"/>
    <mergeCell ref="E4:M4"/>
    <mergeCell ref="P5:R5"/>
    <mergeCell ref="N5:O5"/>
    <mergeCell ref="E2:M2"/>
    <mergeCell ref="N1:O1"/>
    <mergeCell ref="E1:M1"/>
    <mergeCell ref="N2:O2"/>
    <mergeCell ref="N4:O4"/>
    <mergeCell ref="L221:M221"/>
    <mergeCell ref="O43:P43"/>
    <mergeCell ref="L142:M142"/>
    <mergeCell ref="O21:P21"/>
    <mergeCell ref="L21:M21"/>
    <mergeCell ref="L76:M76"/>
    <mergeCell ref="O76:P76"/>
    <mergeCell ref="O142:P142"/>
    <mergeCell ref="L168:M168"/>
    <mergeCell ref="O168:P168"/>
    <mergeCell ref="L132:M132"/>
    <mergeCell ref="O132:P132"/>
    <mergeCell ref="L56:M56"/>
    <mergeCell ref="O56:P56"/>
    <mergeCell ref="O155:P155"/>
    <mergeCell ref="L155:M155"/>
    <mergeCell ref="F5:M5"/>
    <mergeCell ref="O38:P38"/>
    <mergeCell ref="L38:M38"/>
    <mergeCell ref="L49:M49"/>
    <mergeCell ref="O49:P49"/>
    <mergeCell ref="L43:M43"/>
    <mergeCell ref="E360:R360"/>
    <mergeCell ref="L350:M350"/>
    <mergeCell ref="O350:P350"/>
    <mergeCell ref="O221:P221"/>
    <mergeCell ref="A352:Q352"/>
    <mergeCell ref="A353:Q353"/>
    <mergeCell ref="A354:Q354"/>
    <mergeCell ref="I350:J350"/>
    <mergeCell ref="B356:R356"/>
    <mergeCell ref="B357:R357"/>
    <mergeCell ref="B358:R358"/>
    <mergeCell ref="B359:R359"/>
    <mergeCell ref="L348:M348"/>
    <mergeCell ref="O348:P348"/>
    <mergeCell ref="L291:M291"/>
    <mergeCell ref="O291:P291"/>
    <mergeCell ref="C149:C153"/>
    <mergeCell ref="D149:D153"/>
    <mergeCell ref="B149:B153"/>
    <mergeCell ref="B146:B147"/>
    <mergeCell ref="C146:C147"/>
    <mergeCell ref="D146:D147"/>
    <mergeCell ref="C137:C140"/>
    <mergeCell ref="D137:D140"/>
    <mergeCell ref="B137:B140"/>
    <mergeCell ref="C126:C127"/>
    <mergeCell ref="D126:D127"/>
    <mergeCell ref="B116:B119"/>
    <mergeCell ref="C116:C119"/>
    <mergeCell ref="D116:D119"/>
    <mergeCell ref="C108:C109"/>
    <mergeCell ref="D108:D109"/>
    <mergeCell ref="B108:B109"/>
    <mergeCell ref="C59:C64"/>
    <mergeCell ref="D59:D64"/>
    <mergeCell ref="B59:B64"/>
    <mergeCell ref="B79:B107"/>
    <mergeCell ref="C79:C107"/>
    <mergeCell ref="D79:D107"/>
    <mergeCell ref="B70:B74"/>
    <mergeCell ref="C70:C74"/>
    <mergeCell ref="D70:D7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7C4BB8EC-6ABD-46A5-90FA-CEDAD104F572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Recap &amp; Summary</vt:lpstr>
      <vt:lpstr>Estimate</vt:lpstr>
      <vt:lpstr>'Bid Recap &amp; Summary'!Print_Area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{7C4BB8EC-6ABD-46A5-90FA-CEDAD104F572}</vt:lpwstr>
  </property>
</Properties>
</file>