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ESTIMATION\PORTFOLIO\Projects\GC\"/>
    </mc:Choice>
  </mc:AlternateContent>
  <xr:revisionPtr revIDLastSave="0" documentId="13_ncr:1_{C52230BD-29A6-4AE3-920A-67DD27FADE8A}" xr6:coauthVersionLast="47" xr6:coauthVersionMax="47" xr10:uidLastSave="{00000000-0000-0000-0000-000000000000}"/>
  <bookViews>
    <workbookView xWindow="-108" yWindow="-108" windowWidth="23256" windowHeight="12456" xr2:uid="{00000000-000D-0000-FFFF-FFFF00000000}"/>
  </bookViews>
  <sheets>
    <sheet name="DETAIL" sheetId="1" r:id="rId1"/>
    <sheet name="UJ" sheetId="2" state="hidden" r:id="rId2"/>
    <sheet name="DETAIL (2)" sheetId="3" state="hidden" r:id="rId3"/>
  </sheets>
  <definedNames>
    <definedName name="_xlnm._FilterDatabase" localSheetId="0" hidden="1">DETAIL!$N$28:$P$275</definedName>
  </definedNames>
  <calcPr calcId="191029"/>
  <extLst>
    <ext uri="GoogleSheetsCustomDataVersion2">
      <go:sheetsCustomData xmlns:go="http://customooxmlschemas.google.com/" r:id="rId7" roundtripDataChecksum="yViyGb+cvo3qk+fgpOXH25dcRnPTMNg+PlZhnUTV2hw="/>
    </ext>
  </extLst>
</workbook>
</file>

<file path=xl/calcChain.xml><?xml version="1.0" encoding="utf-8"?>
<calcChain xmlns="http://schemas.openxmlformats.org/spreadsheetml/2006/main">
  <c r="F18" i="3" l="1"/>
  <c r="F17" i="3"/>
  <c r="D17" i="3"/>
  <c r="F16" i="3"/>
  <c r="F15" i="3"/>
  <c r="D14" i="3"/>
  <c r="F14" i="3" s="1"/>
  <c r="F13" i="3"/>
  <c r="F12" i="3"/>
  <c r="F11" i="3"/>
  <c r="D11" i="3"/>
  <c r="D10" i="3"/>
  <c r="F10" i="3" s="1"/>
  <c r="D9" i="3"/>
  <c r="F9" i="3" s="1"/>
  <c r="F6" i="3"/>
  <c r="I19" i="2"/>
  <c r="F19" i="2"/>
  <c r="N18" i="2"/>
  <c r="I18" i="2"/>
  <c r="F18" i="2"/>
  <c r="N17" i="2"/>
  <c r="I17" i="2"/>
  <c r="F17" i="2"/>
  <c r="I16" i="2"/>
  <c r="F16" i="2"/>
  <c r="N15" i="2"/>
  <c r="I15" i="2"/>
  <c r="F15" i="2"/>
  <c r="O14" i="2"/>
  <c r="L14" i="2"/>
  <c r="F14" i="2"/>
  <c r="I14" i="2" s="1"/>
  <c r="N13" i="2"/>
  <c r="I13" i="2"/>
  <c r="F13" i="2"/>
  <c r="N12" i="2"/>
  <c r="F12" i="2"/>
  <c r="I12" i="2" s="1"/>
  <c r="N11" i="2"/>
  <c r="F11" i="2"/>
  <c r="I11" i="2" s="1"/>
  <c r="N10" i="2"/>
  <c r="L10" i="2"/>
  <c r="I10" i="2"/>
  <c r="F10" i="2"/>
  <c r="N9" i="2"/>
  <c r="L9" i="2"/>
  <c r="F9" i="2"/>
  <c r="I9" i="2" s="1"/>
  <c r="I6" i="2"/>
  <c r="A282" i="1"/>
  <c r="A281" i="1"/>
  <c r="A280" i="1"/>
  <c r="A279" i="1"/>
  <c r="A278" i="1"/>
  <c r="A277" i="1"/>
  <c r="P275" i="1"/>
  <c r="N275" i="1"/>
  <c r="A275" i="1"/>
  <c r="P274" i="1"/>
  <c r="N274" i="1"/>
  <c r="A274" i="1"/>
  <c r="L273" i="1"/>
  <c r="N273" i="1" s="1"/>
  <c r="K273" i="1"/>
  <c r="G273" i="1"/>
  <c r="O273" i="1" s="1"/>
  <c r="N272" i="1"/>
  <c r="L272" i="1"/>
  <c r="K272" i="1"/>
  <c r="G272" i="1"/>
  <c r="O272" i="1" s="1"/>
  <c r="L271" i="1"/>
  <c r="N271" i="1" s="1"/>
  <c r="K271" i="1"/>
  <c r="G271" i="1"/>
  <c r="O271" i="1" s="1"/>
  <c r="N270" i="1"/>
  <c r="L270" i="1"/>
  <c r="K270" i="1"/>
  <c r="G270" i="1"/>
  <c r="O270" i="1" s="1"/>
  <c r="L269" i="1"/>
  <c r="N269" i="1" s="1"/>
  <c r="K269" i="1"/>
  <c r="G269" i="1"/>
  <c r="O269" i="1" s="1"/>
  <c r="O268" i="1"/>
  <c r="L268" i="1"/>
  <c r="N268" i="1" s="1"/>
  <c r="K268" i="1"/>
  <c r="G268" i="1"/>
  <c r="L267" i="1"/>
  <c r="N267" i="1" s="1"/>
  <c r="K267" i="1"/>
  <c r="G267" i="1"/>
  <c r="O267" i="1" s="1"/>
  <c r="P267" i="1" s="1"/>
  <c r="O266" i="1"/>
  <c r="P266" i="1" s="1"/>
  <c r="L266" i="1"/>
  <c r="N266" i="1" s="1"/>
  <c r="K266" i="1"/>
  <c r="G266" i="1"/>
  <c r="L265" i="1"/>
  <c r="N265" i="1" s="1"/>
  <c r="K265" i="1"/>
  <c r="G265" i="1"/>
  <c r="O265" i="1" s="1"/>
  <c r="P265" i="1" s="1"/>
  <c r="L264" i="1"/>
  <c r="N264" i="1" s="1"/>
  <c r="K264" i="1"/>
  <c r="G264" i="1"/>
  <c r="O264" i="1" s="1"/>
  <c r="L263" i="1"/>
  <c r="N263" i="1" s="1"/>
  <c r="K263" i="1"/>
  <c r="G263" i="1"/>
  <c r="O263" i="1" s="1"/>
  <c r="L262" i="1"/>
  <c r="N262" i="1" s="1"/>
  <c r="K262" i="1"/>
  <c r="G262" i="1"/>
  <c r="O262" i="1" s="1"/>
  <c r="L261" i="1"/>
  <c r="N261" i="1" s="1"/>
  <c r="K261" i="1"/>
  <c r="G261" i="1"/>
  <c r="O261" i="1" s="1"/>
  <c r="P261" i="1" s="1"/>
  <c r="L260" i="1"/>
  <c r="N260" i="1" s="1"/>
  <c r="K260" i="1"/>
  <c r="G260" i="1"/>
  <c r="O260" i="1" s="1"/>
  <c r="P259" i="1"/>
  <c r="N259" i="1"/>
  <c r="L259" i="1"/>
  <c r="K259" i="1"/>
  <c r="A259" i="1"/>
  <c r="P258" i="1"/>
  <c r="N258" i="1"/>
  <c r="L258" i="1"/>
  <c r="A258" i="1"/>
  <c r="P257" i="1"/>
  <c r="N257" i="1"/>
  <c r="L257" i="1"/>
  <c r="K257" i="1"/>
  <c r="A257" i="1"/>
  <c r="P256" i="1"/>
  <c r="N256" i="1"/>
  <c r="L256" i="1"/>
  <c r="K256" i="1"/>
  <c r="A256" i="1"/>
  <c r="L255" i="1"/>
  <c r="N255" i="1" s="1"/>
  <c r="K255" i="1"/>
  <c r="G255" i="1"/>
  <c r="O255" i="1" s="1"/>
  <c r="L254" i="1"/>
  <c r="N254" i="1" s="1"/>
  <c r="K254" i="1"/>
  <c r="G254" i="1"/>
  <c r="O254" i="1" s="1"/>
  <c r="P253" i="1"/>
  <c r="N253" i="1"/>
  <c r="L253" i="1"/>
  <c r="K253" i="1"/>
  <c r="A253" i="1"/>
  <c r="P252" i="1"/>
  <c r="N252" i="1"/>
  <c r="L252" i="1"/>
  <c r="A252" i="1"/>
  <c r="P251" i="1"/>
  <c r="N251" i="1"/>
  <c r="L251" i="1"/>
  <c r="K251" i="1"/>
  <c r="A251" i="1"/>
  <c r="P250" i="1"/>
  <c r="N250" i="1"/>
  <c r="L250" i="1"/>
  <c r="K250" i="1"/>
  <c r="A250" i="1"/>
  <c r="O249" i="1"/>
  <c r="N249" i="1"/>
  <c r="L249" i="1"/>
  <c r="K249" i="1"/>
  <c r="G249" i="1"/>
  <c r="P248" i="1"/>
  <c r="N248" i="1"/>
  <c r="L248" i="1"/>
  <c r="K248" i="1"/>
  <c r="A248" i="1"/>
  <c r="P247" i="1"/>
  <c r="N247" i="1"/>
  <c r="L247" i="1"/>
  <c r="A247" i="1"/>
  <c r="P246" i="1"/>
  <c r="N246" i="1"/>
  <c r="L246" i="1"/>
  <c r="K246" i="1"/>
  <c r="A246" i="1"/>
  <c r="P245" i="1"/>
  <c r="N245" i="1"/>
  <c r="L245" i="1"/>
  <c r="K245" i="1"/>
  <c r="A245" i="1"/>
  <c r="L244" i="1"/>
  <c r="N244" i="1" s="1"/>
  <c r="K244" i="1"/>
  <c r="G244" i="1"/>
  <c r="O244" i="1" s="1"/>
  <c r="L243" i="1"/>
  <c r="N243" i="1" s="1"/>
  <c r="K243" i="1"/>
  <c r="G243" i="1"/>
  <c r="O243" i="1" s="1"/>
  <c r="P243" i="1" s="1"/>
  <c r="L242" i="1"/>
  <c r="N242" i="1" s="1"/>
  <c r="K242" i="1"/>
  <c r="G242" i="1"/>
  <c r="O242" i="1" s="1"/>
  <c r="L241" i="1"/>
  <c r="N241" i="1" s="1"/>
  <c r="K241" i="1"/>
  <c r="G241" i="1"/>
  <c r="O241" i="1" s="1"/>
  <c r="L240" i="1"/>
  <c r="N240" i="1" s="1"/>
  <c r="K240" i="1"/>
  <c r="G240" i="1"/>
  <c r="O240" i="1" s="1"/>
  <c r="P239" i="1"/>
  <c r="N239" i="1"/>
  <c r="L239" i="1"/>
  <c r="K239" i="1"/>
  <c r="A239" i="1"/>
  <c r="P238" i="1"/>
  <c r="N238" i="1"/>
  <c r="L238" i="1"/>
  <c r="A238" i="1"/>
  <c r="P237" i="1"/>
  <c r="N237" i="1"/>
  <c r="L237" i="1"/>
  <c r="K237" i="1"/>
  <c r="A237" i="1"/>
  <c r="P236" i="1"/>
  <c r="N236" i="1"/>
  <c r="L236" i="1"/>
  <c r="K236" i="1"/>
  <c r="A236" i="1"/>
  <c r="L235" i="1"/>
  <c r="N235" i="1" s="1"/>
  <c r="K235" i="1"/>
  <c r="G235" i="1"/>
  <c r="O235" i="1" s="1"/>
  <c r="P235" i="1" s="1"/>
  <c r="O234" i="1"/>
  <c r="P234" i="1" s="1"/>
  <c r="L234" i="1"/>
  <c r="N234" i="1" s="1"/>
  <c r="K234" i="1"/>
  <c r="G234" i="1"/>
  <c r="L233" i="1"/>
  <c r="N233" i="1" s="1"/>
  <c r="K233" i="1"/>
  <c r="G233" i="1"/>
  <c r="O233" i="1" s="1"/>
  <c r="L232" i="1"/>
  <c r="N232" i="1" s="1"/>
  <c r="K232" i="1"/>
  <c r="G232" i="1"/>
  <c r="O232" i="1" s="1"/>
  <c r="O231" i="1"/>
  <c r="L231" i="1"/>
  <c r="N231" i="1" s="1"/>
  <c r="P231" i="1" s="1"/>
  <c r="K231" i="1"/>
  <c r="G231" i="1"/>
  <c r="L230" i="1"/>
  <c r="N230" i="1" s="1"/>
  <c r="K230" i="1"/>
  <c r="G230" i="1"/>
  <c r="O230" i="1" s="1"/>
  <c r="P229" i="1"/>
  <c r="N229" i="1"/>
  <c r="L229" i="1"/>
  <c r="A229" i="1"/>
  <c r="P228" i="1"/>
  <c r="N228" i="1"/>
  <c r="L228" i="1"/>
  <c r="K228" i="1"/>
  <c r="A228" i="1"/>
  <c r="P227" i="1"/>
  <c r="N227" i="1"/>
  <c r="L227" i="1"/>
  <c r="K227" i="1"/>
  <c r="A227" i="1"/>
  <c r="L226" i="1"/>
  <c r="N226" i="1" s="1"/>
  <c r="K226" i="1"/>
  <c r="G226" i="1"/>
  <c r="O226" i="1" s="1"/>
  <c r="L225" i="1"/>
  <c r="N225" i="1" s="1"/>
  <c r="K225" i="1"/>
  <c r="G225" i="1"/>
  <c r="O225" i="1" s="1"/>
  <c r="P225" i="1" s="1"/>
  <c r="L224" i="1"/>
  <c r="N224" i="1" s="1"/>
  <c r="K224" i="1"/>
  <c r="G224" i="1"/>
  <c r="O224" i="1" s="1"/>
  <c r="P224" i="1" s="1"/>
  <c r="O223" i="1"/>
  <c r="L223" i="1"/>
  <c r="N223" i="1" s="1"/>
  <c r="K223" i="1"/>
  <c r="G223" i="1"/>
  <c r="P222" i="1"/>
  <c r="N222" i="1"/>
  <c r="L222" i="1"/>
  <c r="K222" i="1"/>
  <c r="A222" i="1"/>
  <c r="P221" i="1"/>
  <c r="N221" i="1"/>
  <c r="L221" i="1"/>
  <c r="K221" i="1"/>
  <c r="A221" i="1"/>
  <c r="O220" i="1"/>
  <c r="P220" i="1" s="1"/>
  <c r="L220" i="1"/>
  <c r="N220" i="1" s="1"/>
  <c r="K220" i="1"/>
  <c r="G220" i="1"/>
  <c r="L219" i="1"/>
  <c r="N219" i="1" s="1"/>
  <c r="K219" i="1"/>
  <c r="G219" i="1"/>
  <c r="O219" i="1" s="1"/>
  <c r="L218" i="1"/>
  <c r="N218" i="1" s="1"/>
  <c r="K218" i="1"/>
  <c r="G218" i="1"/>
  <c r="O218" i="1" s="1"/>
  <c r="L217" i="1"/>
  <c r="N217" i="1" s="1"/>
  <c r="K217" i="1"/>
  <c r="G217" i="1"/>
  <c r="O217" i="1" s="1"/>
  <c r="L216" i="1"/>
  <c r="N216" i="1" s="1"/>
  <c r="K216" i="1"/>
  <c r="G216" i="1"/>
  <c r="O216" i="1" s="1"/>
  <c r="P215" i="1"/>
  <c r="N215" i="1"/>
  <c r="L215" i="1"/>
  <c r="K215" i="1"/>
  <c r="A215" i="1"/>
  <c r="P214" i="1"/>
  <c r="N214" i="1"/>
  <c r="L214" i="1"/>
  <c r="K214" i="1"/>
  <c r="A214" i="1"/>
  <c r="L213" i="1"/>
  <c r="N213" i="1" s="1"/>
  <c r="K213" i="1"/>
  <c r="G213" i="1"/>
  <c r="O213" i="1" s="1"/>
  <c r="L212" i="1"/>
  <c r="N212" i="1" s="1"/>
  <c r="K212" i="1"/>
  <c r="G212" i="1"/>
  <c r="O212" i="1" s="1"/>
  <c r="N211" i="1"/>
  <c r="L211" i="1"/>
  <c r="K211" i="1"/>
  <c r="G211" i="1"/>
  <c r="O211" i="1" s="1"/>
  <c r="P211" i="1" s="1"/>
  <c r="O210" i="1"/>
  <c r="N210" i="1"/>
  <c r="L210" i="1"/>
  <c r="K210" i="1"/>
  <c r="G210" i="1"/>
  <c r="P209" i="1"/>
  <c r="N209" i="1"/>
  <c r="L209" i="1"/>
  <c r="K209" i="1"/>
  <c r="A209" i="1"/>
  <c r="P208" i="1"/>
  <c r="N208" i="1"/>
  <c r="L208" i="1"/>
  <c r="K208" i="1"/>
  <c r="A208" i="1"/>
  <c r="N207" i="1"/>
  <c r="L207" i="1"/>
  <c r="K207" i="1"/>
  <c r="G207" i="1"/>
  <c r="O207" i="1" s="1"/>
  <c r="N206" i="1"/>
  <c r="L206" i="1"/>
  <c r="K206" i="1"/>
  <c r="G206" i="1"/>
  <c r="O206" i="1" s="1"/>
  <c r="P206" i="1" s="1"/>
  <c r="P205" i="1"/>
  <c r="N205" i="1"/>
  <c r="L205" i="1"/>
  <c r="K205" i="1"/>
  <c r="A205" i="1"/>
  <c r="P204" i="1"/>
  <c r="N204" i="1"/>
  <c r="L204" i="1"/>
  <c r="K204" i="1"/>
  <c r="A204" i="1"/>
  <c r="L203" i="1"/>
  <c r="N203" i="1" s="1"/>
  <c r="K203" i="1"/>
  <c r="G203" i="1"/>
  <c r="O203" i="1" s="1"/>
  <c r="O202" i="1"/>
  <c r="N202" i="1"/>
  <c r="L202" i="1"/>
  <c r="K202" i="1"/>
  <c r="G202" i="1"/>
  <c r="L201" i="1"/>
  <c r="N201" i="1" s="1"/>
  <c r="P201" i="1" s="1"/>
  <c r="K201" i="1"/>
  <c r="G201" i="1"/>
  <c r="O201" i="1" s="1"/>
  <c r="L200" i="1"/>
  <c r="N200" i="1" s="1"/>
  <c r="K200" i="1"/>
  <c r="G200" i="1"/>
  <c r="O200" i="1" s="1"/>
  <c r="P200" i="1" s="1"/>
  <c r="L199" i="1"/>
  <c r="N199" i="1" s="1"/>
  <c r="K199" i="1"/>
  <c r="G199" i="1"/>
  <c r="O199" i="1" s="1"/>
  <c r="P199" i="1" s="1"/>
  <c r="N198" i="1"/>
  <c r="L198" i="1"/>
  <c r="K198" i="1"/>
  <c r="G198" i="1"/>
  <c r="O198" i="1" s="1"/>
  <c r="L197" i="1"/>
  <c r="N197" i="1" s="1"/>
  <c r="K197" i="1"/>
  <c r="G197" i="1"/>
  <c r="O197" i="1" s="1"/>
  <c r="P197" i="1" s="1"/>
  <c r="L196" i="1"/>
  <c r="N196" i="1" s="1"/>
  <c r="K196" i="1"/>
  <c r="G196" i="1"/>
  <c r="O196" i="1" s="1"/>
  <c r="N195" i="1"/>
  <c r="L195" i="1"/>
  <c r="K195" i="1"/>
  <c r="G195" i="1"/>
  <c r="O195" i="1" s="1"/>
  <c r="P194" i="1"/>
  <c r="N194" i="1"/>
  <c r="L194" i="1"/>
  <c r="K194" i="1"/>
  <c r="A194" i="1"/>
  <c r="P193" i="1"/>
  <c r="N193" i="1"/>
  <c r="L193" i="1"/>
  <c r="K193" i="1"/>
  <c r="A193" i="1"/>
  <c r="N192" i="1"/>
  <c r="L192" i="1"/>
  <c r="K192" i="1"/>
  <c r="G192" i="1"/>
  <c r="O192" i="1" s="1"/>
  <c r="L191" i="1"/>
  <c r="N191" i="1" s="1"/>
  <c r="K191" i="1"/>
  <c r="G191" i="1"/>
  <c r="O191" i="1" s="1"/>
  <c r="O190" i="1"/>
  <c r="N190" i="1"/>
  <c r="L190" i="1"/>
  <c r="K190" i="1"/>
  <c r="G190" i="1"/>
  <c r="P189" i="1"/>
  <c r="N189" i="1"/>
  <c r="L189" i="1"/>
  <c r="K189" i="1"/>
  <c r="A189" i="1"/>
  <c r="L188" i="1"/>
  <c r="N188" i="1" s="1"/>
  <c r="K188" i="1"/>
  <c r="E188" i="1"/>
  <c r="G188" i="1" s="1"/>
  <c r="O188" i="1" s="1"/>
  <c r="L187" i="1"/>
  <c r="N187" i="1" s="1"/>
  <c r="K187" i="1"/>
  <c r="E187" i="1"/>
  <c r="G187" i="1" s="1"/>
  <c r="O187" i="1" s="1"/>
  <c r="L186" i="1"/>
  <c r="N186" i="1" s="1"/>
  <c r="K186" i="1"/>
  <c r="E186" i="1"/>
  <c r="G186" i="1" s="1"/>
  <c r="O186" i="1" s="1"/>
  <c r="L185" i="1"/>
  <c r="N185" i="1" s="1"/>
  <c r="K185" i="1"/>
  <c r="E185" i="1"/>
  <c r="G185" i="1" s="1"/>
  <c r="O185" i="1" s="1"/>
  <c r="L184" i="1"/>
  <c r="N184" i="1" s="1"/>
  <c r="K184" i="1"/>
  <c r="E184" i="1"/>
  <c r="G184" i="1" s="1"/>
  <c r="O184" i="1" s="1"/>
  <c r="L183" i="1"/>
  <c r="N183" i="1" s="1"/>
  <c r="K183" i="1"/>
  <c r="E183" i="1"/>
  <c r="G183" i="1" s="1"/>
  <c r="O183" i="1" s="1"/>
  <c r="P182" i="1"/>
  <c r="N182" i="1"/>
  <c r="L182" i="1"/>
  <c r="K182" i="1"/>
  <c r="A182" i="1"/>
  <c r="P181" i="1"/>
  <c r="N181" i="1"/>
  <c r="L181" i="1"/>
  <c r="K181" i="1"/>
  <c r="A181" i="1"/>
  <c r="L180" i="1"/>
  <c r="N180" i="1" s="1"/>
  <c r="K180" i="1"/>
  <c r="E180" i="1"/>
  <c r="G180" i="1" s="1"/>
  <c r="O180" i="1" s="1"/>
  <c r="P180" i="1" s="1"/>
  <c r="L179" i="1"/>
  <c r="N179" i="1" s="1"/>
  <c r="K179" i="1"/>
  <c r="E179" i="1"/>
  <c r="G179" i="1" s="1"/>
  <c r="O179" i="1" s="1"/>
  <c r="P179" i="1" s="1"/>
  <c r="L178" i="1"/>
  <c r="N178" i="1" s="1"/>
  <c r="K178" i="1"/>
  <c r="E178" i="1"/>
  <c r="G178" i="1" s="1"/>
  <c r="O178" i="1" s="1"/>
  <c r="L177" i="1"/>
  <c r="N177" i="1" s="1"/>
  <c r="K177" i="1"/>
  <c r="E177" i="1"/>
  <c r="G177" i="1" s="1"/>
  <c r="O177" i="1" s="1"/>
  <c r="P177" i="1" s="1"/>
  <c r="L176" i="1"/>
  <c r="N176" i="1" s="1"/>
  <c r="K176" i="1"/>
  <c r="E176" i="1"/>
  <c r="G176" i="1" s="1"/>
  <c r="O176" i="1" s="1"/>
  <c r="P175" i="1"/>
  <c r="N175" i="1"/>
  <c r="L175" i="1"/>
  <c r="K175" i="1"/>
  <c r="A175" i="1"/>
  <c r="P174" i="1"/>
  <c r="N174" i="1"/>
  <c r="L174" i="1"/>
  <c r="K174" i="1"/>
  <c r="A174" i="1"/>
  <c r="N173" i="1"/>
  <c r="L173" i="1"/>
  <c r="K173" i="1"/>
  <c r="E173" i="1"/>
  <c r="G173" i="1" s="1"/>
  <c r="O173" i="1" s="1"/>
  <c r="N172" i="1"/>
  <c r="L172" i="1"/>
  <c r="K172" i="1"/>
  <c r="E172" i="1"/>
  <c r="G172" i="1" s="1"/>
  <c r="O172" i="1" s="1"/>
  <c r="N171" i="1"/>
  <c r="L171" i="1"/>
  <c r="K171" i="1"/>
  <c r="E171" i="1"/>
  <c r="G171" i="1" s="1"/>
  <c r="O171" i="1" s="1"/>
  <c r="N170" i="1"/>
  <c r="L170" i="1"/>
  <c r="K170" i="1"/>
  <c r="E170" i="1"/>
  <c r="G170" i="1" s="1"/>
  <c r="O170" i="1" s="1"/>
  <c r="N169" i="1"/>
  <c r="L169" i="1"/>
  <c r="K169" i="1"/>
  <c r="E169" i="1"/>
  <c r="G169" i="1" s="1"/>
  <c r="O169" i="1" s="1"/>
  <c r="P168" i="1"/>
  <c r="N168" i="1"/>
  <c r="L168" i="1"/>
  <c r="K168" i="1"/>
  <c r="A168" i="1"/>
  <c r="P167" i="1"/>
  <c r="N167" i="1"/>
  <c r="L167" i="1"/>
  <c r="K167" i="1"/>
  <c r="A167" i="1"/>
  <c r="N166" i="1"/>
  <c r="L166" i="1"/>
  <c r="K166" i="1"/>
  <c r="E166" i="1"/>
  <c r="G166" i="1" s="1"/>
  <c r="O166" i="1" s="1"/>
  <c r="P166" i="1" s="1"/>
  <c r="L165" i="1"/>
  <c r="N165" i="1" s="1"/>
  <c r="K165" i="1"/>
  <c r="G165" i="1"/>
  <c r="O165" i="1" s="1"/>
  <c r="E165" i="1"/>
  <c r="N164" i="1"/>
  <c r="L164" i="1"/>
  <c r="K164" i="1"/>
  <c r="E164" i="1"/>
  <c r="G164" i="1" s="1"/>
  <c r="O164" i="1" s="1"/>
  <c r="P164" i="1" s="1"/>
  <c r="L163" i="1"/>
  <c r="N163" i="1" s="1"/>
  <c r="K163" i="1"/>
  <c r="G163" i="1"/>
  <c r="O163" i="1" s="1"/>
  <c r="E163" i="1"/>
  <c r="P162" i="1"/>
  <c r="N162" i="1"/>
  <c r="L162" i="1"/>
  <c r="K162" i="1"/>
  <c r="A162" i="1"/>
  <c r="P161" i="1"/>
  <c r="N161" i="1"/>
  <c r="L161" i="1"/>
  <c r="K161" i="1"/>
  <c r="A161" i="1"/>
  <c r="L160" i="1"/>
  <c r="N160" i="1" s="1"/>
  <c r="K160" i="1"/>
  <c r="G160" i="1"/>
  <c r="O160" i="1" s="1"/>
  <c r="E160" i="1"/>
  <c r="N159" i="1"/>
  <c r="L159" i="1"/>
  <c r="K159" i="1"/>
  <c r="E159" i="1"/>
  <c r="G159" i="1" s="1"/>
  <c r="O159" i="1" s="1"/>
  <c r="L158" i="1"/>
  <c r="N158" i="1" s="1"/>
  <c r="K158" i="1"/>
  <c r="E158" i="1"/>
  <c r="G158" i="1" s="1"/>
  <c r="O158" i="1" s="1"/>
  <c r="L157" i="1"/>
  <c r="N157" i="1" s="1"/>
  <c r="K157" i="1"/>
  <c r="E157" i="1"/>
  <c r="G157" i="1" s="1"/>
  <c r="O157" i="1" s="1"/>
  <c r="L156" i="1"/>
  <c r="N156" i="1" s="1"/>
  <c r="K156" i="1"/>
  <c r="E156" i="1"/>
  <c r="G156" i="1" s="1"/>
  <c r="O156" i="1" s="1"/>
  <c r="P155" i="1"/>
  <c r="N155" i="1"/>
  <c r="L155" i="1"/>
  <c r="K155" i="1"/>
  <c r="A155" i="1"/>
  <c r="P154" i="1"/>
  <c r="N154" i="1"/>
  <c r="L154" i="1"/>
  <c r="K154" i="1"/>
  <c r="A154" i="1"/>
  <c r="L153" i="1"/>
  <c r="N153" i="1" s="1"/>
  <c r="K153" i="1"/>
  <c r="E153" i="1"/>
  <c r="G153" i="1" s="1"/>
  <c r="O153" i="1" s="1"/>
  <c r="P153" i="1" s="1"/>
  <c r="O152" i="1"/>
  <c r="L152" i="1"/>
  <c r="N152" i="1" s="1"/>
  <c r="K152" i="1"/>
  <c r="E152" i="1"/>
  <c r="G152" i="1" s="1"/>
  <c r="L151" i="1"/>
  <c r="N151" i="1" s="1"/>
  <c r="K151" i="1"/>
  <c r="E151" i="1"/>
  <c r="G151" i="1" s="1"/>
  <c r="O151" i="1" s="1"/>
  <c r="P151" i="1" s="1"/>
  <c r="L150" i="1"/>
  <c r="N150" i="1" s="1"/>
  <c r="K150" i="1"/>
  <c r="E150" i="1"/>
  <c r="G150" i="1" s="1"/>
  <c r="O150" i="1" s="1"/>
  <c r="L149" i="1"/>
  <c r="N149" i="1" s="1"/>
  <c r="K149" i="1"/>
  <c r="E149" i="1"/>
  <c r="G149" i="1" s="1"/>
  <c r="O149" i="1" s="1"/>
  <c r="P149" i="1" s="1"/>
  <c r="P148" i="1"/>
  <c r="N148" i="1"/>
  <c r="L148" i="1"/>
  <c r="K148" i="1"/>
  <c r="A148" i="1"/>
  <c r="P147" i="1"/>
  <c r="N147" i="1"/>
  <c r="L147" i="1"/>
  <c r="K147" i="1"/>
  <c r="A147" i="1"/>
  <c r="L146" i="1"/>
  <c r="N146" i="1" s="1"/>
  <c r="K146" i="1"/>
  <c r="E146" i="1"/>
  <c r="G146" i="1" s="1"/>
  <c r="O146" i="1" s="1"/>
  <c r="L145" i="1"/>
  <c r="N145" i="1" s="1"/>
  <c r="K145" i="1"/>
  <c r="E145" i="1"/>
  <c r="G145" i="1" s="1"/>
  <c r="O145" i="1" s="1"/>
  <c r="L144" i="1"/>
  <c r="N144" i="1" s="1"/>
  <c r="K144" i="1"/>
  <c r="E144" i="1"/>
  <c r="G144" i="1" s="1"/>
  <c r="O144" i="1" s="1"/>
  <c r="L143" i="1"/>
  <c r="N143" i="1" s="1"/>
  <c r="K143" i="1"/>
  <c r="E143" i="1"/>
  <c r="G143" i="1" s="1"/>
  <c r="O143" i="1" s="1"/>
  <c r="P142" i="1"/>
  <c r="N142" i="1"/>
  <c r="L142" i="1"/>
  <c r="K142" i="1"/>
  <c r="A142" i="1"/>
  <c r="P141" i="1"/>
  <c r="N141" i="1"/>
  <c r="L141" i="1"/>
  <c r="K141" i="1"/>
  <c r="A141" i="1"/>
  <c r="L140" i="1"/>
  <c r="N140" i="1" s="1"/>
  <c r="K140" i="1"/>
  <c r="G140" i="1"/>
  <c r="O140" i="1" s="1"/>
  <c r="E140" i="1"/>
  <c r="N139" i="1"/>
  <c r="L139" i="1"/>
  <c r="K139" i="1"/>
  <c r="G139" i="1"/>
  <c r="O139" i="1" s="1"/>
  <c r="E139" i="1"/>
  <c r="L138" i="1"/>
  <c r="N138" i="1" s="1"/>
  <c r="K138" i="1"/>
  <c r="G138" i="1"/>
  <c r="O138" i="1" s="1"/>
  <c r="E138" i="1"/>
  <c r="N137" i="1"/>
  <c r="L137" i="1"/>
  <c r="K137" i="1"/>
  <c r="E137" i="1"/>
  <c r="G137" i="1" s="1"/>
  <c r="O137" i="1" s="1"/>
  <c r="P137" i="1" s="1"/>
  <c r="L136" i="1"/>
  <c r="N136" i="1" s="1"/>
  <c r="K136" i="1"/>
  <c r="G136" i="1"/>
  <c r="O136" i="1" s="1"/>
  <c r="E136" i="1"/>
  <c r="P135" i="1"/>
  <c r="N135" i="1"/>
  <c r="L135" i="1"/>
  <c r="K135" i="1"/>
  <c r="A135" i="1"/>
  <c r="P134" i="1"/>
  <c r="N134" i="1"/>
  <c r="L134" i="1"/>
  <c r="K134" i="1"/>
  <c r="A134" i="1"/>
  <c r="L133" i="1"/>
  <c r="N133" i="1" s="1"/>
  <c r="K133" i="1"/>
  <c r="E133" i="1"/>
  <c r="G133" i="1" s="1"/>
  <c r="O133" i="1" s="1"/>
  <c r="L132" i="1"/>
  <c r="N132" i="1" s="1"/>
  <c r="K132" i="1"/>
  <c r="E132" i="1"/>
  <c r="G132" i="1" s="1"/>
  <c r="O132" i="1" s="1"/>
  <c r="L131" i="1"/>
  <c r="N131" i="1" s="1"/>
  <c r="K131" i="1"/>
  <c r="E131" i="1"/>
  <c r="G131" i="1" s="1"/>
  <c r="O131" i="1" s="1"/>
  <c r="N130" i="1"/>
  <c r="L130" i="1"/>
  <c r="K130" i="1"/>
  <c r="E130" i="1"/>
  <c r="G130" i="1" s="1"/>
  <c r="O130" i="1" s="1"/>
  <c r="L129" i="1"/>
  <c r="N129" i="1" s="1"/>
  <c r="K129" i="1"/>
  <c r="E129" i="1"/>
  <c r="G129" i="1" s="1"/>
  <c r="O129" i="1" s="1"/>
  <c r="L128" i="1"/>
  <c r="N128" i="1" s="1"/>
  <c r="K128" i="1"/>
  <c r="E128" i="1"/>
  <c r="G128" i="1" s="1"/>
  <c r="O128" i="1" s="1"/>
  <c r="L127" i="1"/>
  <c r="N127" i="1" s="1"/>
  <c r="P127" i="1" s="1"/>
  <c r="K127" i="1"/>
  <c r="E127" i="1"/>
  <c r="G127" i="1" s="1"/>
  <c r="O127" i="1" s="1"/>
  <c r="P126" i="1"/>
  <c r="N126" i="1"/>
  <c r="L126" i="1"/>
  <c r="K126" i="1"/>
  <c r="A126" i="1"/>
  <c r="P125" i="1"/>
  <c r="N125" i="1"/>
  <c r="L125" i="1"/>
  <c r="K125" i="1"/>
  <c r="A125" i="1"/>
  <c r="O124" i="1"/>
  <c r="P124" i="1" s="1"/>
  <c r="L124" i="1"/>
  <c r="N124" i="1" s="1"/>
  <c r="K124" i="1"/>
  <c r="E124" i="1"/>
  <c r="G124" i="1" s="1"/>
  <c r="L123" i="1"/>
  <c r="N123" i="1" s="1"/>
  <c r="K123" i="1"/>
  <c r="E123" i="1"/>
  <c r="G123" i="1" s="1"/>
  <c r="O123" i="1" s="1"/>
  <c r="P123" i="1" s="1"/>
  <c r="O122" i="1"/>
  <c r="P122" i="1" s="1"/>
  <c r="L122" i="1"/>
  <c r="N122" i="1" s="1"/>
  <c r="K122" i="1"/>
  <c r="E122" i="1"/>
  <c r="G122" i="1" s="1"/>
  <c r="L121" i="1"/>
  <c r="N121" i="1" s="1"/>
  <c r="K121" i="1"/>
  <c r="E121" i="1"/>
  <c r="G121" i="1" s="1"/>
  <c r="O121" i="1" s="1"/>
  <c r="P121" i="1" s="1"/>
  <c r="L120" i="1"/>
  <c r="N120" i="1" s="1"/>
  <c r="K120" i="1"/>
  <c r="E120" i="1"/>
  <c r="G120" i="1" s="1"/>
  <c r="O120" i="1" s="1"/>
  <c r="P120" i="1" s="1"/>
  <c r="O119" i="1"/>
  <c r="P119" i="1" s="1"/>
  <c r="L119" i="1"/>
  <c r="N119" i="1" s="1"/>
  <c r="K119" i="1"/>
  <c r="E119" i="1"/>
  <c r="G119" i="1" s="1"/>
  <c r="L118" i="1"/>
  <c r="N118" i="1" s="1"/>
  <c r="K118" i="1"/>
  <c r="E118" i="1"/>
  <c r="G118" i="1" s="1"/>
  <c r="O118" i="1" s="1"/>
  <c r="P118" i="1" s="1"/>
  <c r="P117" i="1"/>
  <c r="N117" i="1"/>
  <c r="L117" i="1"/>
  <c r="K117" i="1"/>
  <c r="A117" i="1"/>
  <c r="P116" i="1"/>
  <c r="N116" i="1"/>
  <c r="L116" i="1"/>
  <c r="K116" i="1"/>
  <c r="A116" i="1"/>
  <c r="P115" i="1"/>
  <c r="N115" i="1"/>
  <c r="L115" i="1"/>
  <c r="A115" i="1"/>
  <c r="P114" i="1"/>
  <c r="N114" i="1"/>
  <c r="L114" i="1"/>
  <c r="K114" i="1"/>
  <c r="A114" i="1"/>
  <c r="P113" i="1"/>
  <c r="N113" i="1"/>
  <c r="L113" i="1"/>
  <c r="K113" i="1"/>
  <c r="A113" i="1"/>
  <c r="N112" i="1"/>
  <c r="P112" i="1" s="1"/>
  <c r="L112" i="1"/>
  <c r="K112" i="1"/>
  <c r="G112" i="1"/>
  <c r="O112" i="1" s="1"/>
  <c r="O111" i="1"/>
  <c r="P111" i="1" s="1"/>
  <c r="L111" i="1"/>
  <c r="N111" i="1" s="1"/>
  <c r="K111" i="1"/>
  <c r="G111" i="1"/>
  <c r="O110" i="1"/>
  <c r="L110" i="1"/>
  <c r="N110" i="1" s="1"/>
  <c r="K110" i="1"/>
  <c r="G110" i="1"/>
  <c r="L109" i="1"/>
  <c r="N109" i="1" s="1"/>
  <c r="K109" i="1"/>
  <c r="G109" i="1"/>
  <c r="O109" i="1" s="1"/>
  <c r="L108" i="1"/>
  <c r="N108" i="1" s="1"/>
  <c r="K108" i="1"/>
  <c r="G108" i="1"/>
  <c r="O108" i="1" s="1"/>
  <c r="P107" i="1"/>
  <c r="N107" i="1"/>
  <c r="L107" i="1"/>
  <c r="K107" i="1"/>
  <c r="A107" i="1"/>
  <c r="P106" i="1"/>
  <c r="N106" i="1"/>
  <c r="L106" i="1"/>
  <c r="K106" i="1"/>
  <c r="A106" i="1"/>
  <c r="O105" i="1"/>
  <c r="L105" i="1"/>
  <c r="N105" i="1" s="1"/>
  <c r="P105" i="1" s="1"/>
  <c r="K105" i="1"/>
  <c r="G105" i="1"/>
  <c r="P104" i="1"/>
  <c r="N104" i="1"/>
  <c r="L104" i="1"/>
  <c r="K104" i="1"/>
  <c r="A104" i="1"/>
  <c r="P103" i="1"/>
  <c r="N103" i="1"/>
  <c r="L103" i="1"/>
  <c r="K103" i="1"/>
  <c r="O102" i="1"/>
  <c r="L102" i="1"/>
  <c r="N102" i="1" s="1"/>
  <c r="K102" i="1"/>
  <c r="G102" i="1"/>
  <c r="O101" i="1"/>
  <c r="L101" i="1"/>
  <c r="N101" i="1" s="1"/>
  <c r="K101" i="1"/>
  <c r="G101" i="1"/>
  <c r="N100" i="1"/>
  <c r="L100" i="1"/>
  <c r="K100" i="1"/>
  <c r="G100" i="1"/>
  <c r="O100" i="1" s="1"/>
  <c r="L99" i="1"/>
  <c r="N99" i="1" s="1"/>
  <c r="K99" i="1"/>
  <c r="G99" i="1"/>
  <c r="O99" i="1" s="1"/>
  <c r="L98" i="1"/>
  <c r="N98" i="1" s="1"/>
  <c r="K98" i="1"/>
  <c r="G98" i="1"/>
  <c r="O98" i="1" s="1"/>
  <c r="L97" i="1"/>
  <c r="N97" i="1" s="1"/>
  <c r="K97" i="1"/>
  <c r="G97" i="1"/>
  <c r="O97" i="1" s="1"/>
  <c r="O96" i="1"/>
  <c r="P96" i="1" s="1"/>
  <c r="L96" i="1"/>
  <c r="N96" i="1" s="1"/>
  <c r="K96" i="1"/>
  <c r="G96" i="1"/>
  <c r="O95" i="1"/>
  <c r="L95" i="1"/>
  <c r="N95" i="1" s="1"/>
  <c r="K95" i="1"/>
  <c r="G95" i="1"/>
  <c r="L94" i="1"/>
  <c r="N94" i="1" s="1"/>
  <c r="K94" i="1"/>
  <c r="G94" i="1"/>
  <c r="O94" i="1" s="1"/>
  <c r="L93" i="1"/>
  <c r="N93" i="1" s="1"/>
  <c r="K93" i="1"/>
  <c r="G93" i="1"/>
  <c r="O93" i="1" s="1"/>
  <c r="P93" i="1" s="1"/>
  <c r="N92" i="1"/>
  <c r="L92" i="1"/>
  <c r="K92" i="1"/>
  <c r="G92" i="1"/>
  <c r="O92" i="1" s="1"/>
  <c r="L91" i="1"/>
  <c r="N91" i="1" s="1"/>
  <c r="K91" i="1"/>
  <c r="G91" i="1"/>
  <c r="O91" i="1" s="1"/>
  <c r="N90" i="1"/>
  <c r="L90" i="1"/>
  <c r="K90" i="1"/>
  <c r="G90" i="1"/>
  <c r="O90" i="1" s="1"/>
  <c r="P90" i="1" s="1"/>
  <c r="N89" i="1"/>
  <c r="L89" i="1"/>
  <c r="K89" i="1"/>
  <c r="G89" i="1"/>
  <c r="O89" i="1" s="1"/>
  <c r="L88" i="1"/>
  <c r="N88" i="1" s="1"/>
  <c r="K88" i="1"/>
  <c r="G88" i="1"/>
  <c r="O88" i="1" s="1"/>
  <c r="P87" i="1"/>
  <c r="N87" i="1"/>
  <c r="L87" i="1"/>
  <c r="K87" i="1"/>
  <c r="A87" i="1"/>
  <c r="P86" i="1"/>
  <c r="N86" i="1"/>
  <c r="L86" i="1"/>
  <c r="A86" i="1"/>
  <c r="P85" i="1"/>
  <c r="N85" i="1"/>
  <c r="L85" i="1"/>
  <c r="K85" i="1"/>
  <c r="A85" i="1"/>
  <c r="P84" i="1"/>
  <c r="N84" i="1"/>
  <c r="L84" i="1"/>
  <c r="K84" i="1"/>
  <c r="A84" i="1"/>
  <c r="L83" i="1"/>
  <c r="N83" i="1" s="1"/>
  <c r="K83" i="1"/>
  <c r="G83" i="1"/>
  <c r="O83" i="1" s="1"/>
  <c r="P83" i="1" s="1"/>
  <c r="N82" i="1"/>
  <c r="P82" i="1" s="1"/>
  <c r="L82" i="1"/>
  <c r="K82" i="1"/>
  <c r="G82" i="1"/>
  <c r="O82" i="1" s="1"/>
  <c r="L81" i="1"/>
  <c r="N81" i="1" s="1"/>
  <c r="K81" i="1"/>
  <c r="G81" i="1"/>
  <c r="O81" i="1" s="1"/>
  <c r="P81" i="1" s="1"/>
  <c r="N80" i="1"/>
  <c r="L80" i="1"/>
  <c r="K80" i="1"/>
  <c r="G80" i="1"/>
  <c r="O80" i="1" s="1"/>
  <c r="P80" i="1" s="1"/>
  <c r="P79" i="1"/>
  <c r="N79" i="1"/>
  <c r="L79" i="1"/>
  <c r="K79" i="1"/>
  <c r="A79" i="1"/>
  <c r="P78" i="1"/>
  <c r="N78" i="1"/>
  <c r="L78" i="1"/>
  <c r="K78" i="1"/>
  <c r="A78" i="1"/>
  <c r="O77" i="1"/>
  <c r="L77" i="1"/>
  <c r="N77" i="1" s="1"/>
  <c r="K77" i="1"/>
  <c r="G77" i="1"/>
  <c r="N76" i="1"/>
  <c r="M76" i="1"/>
  <c r="O76" i="1" s="1"/>
  <c r="P76" i="1" s="1"/>
  <c r="L76" i="1"/>
  <c r="K76" i="1"/>
  <c r="I76" i="1"/>
  <c r="G76" i="1"/>
  <c r="P75" i="1"/>
  <c r="N75" i="1"/>
  <c r="L75" i="1"/>
  <c r="K75" i="1"/>
  <c r="A75" i="1"/>
  <c r="P74" i="1"/>
  <c r="N74" i="1"/>
  <c r="L74" i="1"/>
  <c r="A74" i="1"/>
  <c r="P73" i="1"/>
  <c r="N73" i="1"/>
  <c r="L73" i="1"/>
  <c r="K73" i="1"/>
  <c r="A73" i="1"/>
  <c r="L72" i="1"/>
  <c r="N72" i="1" s="1"/>
  <c r="K72" i="1"/>
  <c r="G72" i="1"/>
  <c r="O72" i="1" s="1"/>
  <c r="P71" i="1"/>
  <c r="N71" i="1"/>
  <c r="L71" i="1"/>
  <c r="K71" i="1"/>
  <c r="A71" i="1"/>
  <c r="L70" i="1"/>
  <c r="N70" i="1" s="1"/>
  <c r="K70" i="1"/>
  <c r="G70" i="1"/>
  <c r="O70" i="1" s="1"/>
  <c r="O69" i="1"/>
  <c r="L69" i="1"/>
  <c r="N69" i="1" s="1"/>
  <c r="K69" i="1"/>
  <c r="G69" i="1"/>
  <c r="L68" i="1"/>
  <c r="N68" i="1" s="1"/>
  <c r="K68" i="1"/>
  <c r="G68" i="1"/>
  <c r="O68" i="1" s="1"/>
  <c r="P68" i="1" s="1"/>
  <c r="O67" i="1"/>
  <c r="L67" i="1"/>
  <c r="N67" i="1" s="1"/>
  <c r="K67" i="1"/>
  <c r="G67" i="1"/>
  <c r="L66" i="1"/>
  <c r="N66" i="1" s="1"/>
  <c r="K66" i="1"/>
  <c r="G66" i="1"/>
  <c r="O66" i="1" s="1"/>
  <c r="L65" i="1"/>
  <c r="N65" i="1" s="1"/>
  <c r="K65" i="1"/>
  <c r="G65" i="1"/>
  <c r="O65" i="1" s="1"/>
  <c r="P64" i="1"/>
  <c r="N64" i="1"/>
  <c r="L64" i="1"/>
  <c r="K64" i="1"/>
  <c r="A64" i="1"/>
  <c r="P63" i="1"/>
  <c r="N63" i="1"/>
  <c r="L63" i="1"/>
  <c r="A63" i="1"/>
  <c r="P62" i="1"/>
  <c r="N62" i="1"/>
  <c r="L62" i="1"/>
  <c r="K62" i="1"/>
  <c r="A62" i="1"/>
  <c r="P61" i="1"/>
  <c r="N61" i="1"/>
  <c r="L61" i="1"/>
  <c r="K61" i="1"/>
  <c r="A61" i="1"/>
  <c r="L60" i="1"/>
  <c r="N60" i="1" s="1"/>
  <c r="K60" i="1"/>
  <c r="G60" i="1"/>
  <c r="O60" i="1" s="1"/>
  <c r="P60" i="1" s="1"/>
  <c r="L59" i="1"/>
  <c r="N59" i="1" s="1"/>
  <c r="K59" i="1"/>
  <c r="G59" i="1"/>
  <c r="O59" i="1" s="1"/>
  <c r="L58" i="1"/>
  <c r="N58" i="1" s="1"/>
  <c r="K58" i="1"/>
  <c r="G58" i="1"/>
  <c r="O58" i="1" s="1"/>
  <c r="P58" i="1" s="1"/>
  <c r="L57" i="1"/>
  <c r="N57" i="1" s="1"/>
  <c r="K57" i="1"/>
  <c r="G57" i="1"/>
  <c r="O57" i="1" s="1"/>
  <c r="L56" i="1"/>
  <c r="N56" i="1" s="1"/>
  <c r="K56" i="1"/>
  <c r="G56" i="1"/>
  <c r="O56" i="1" s="1"/>
  <c r="P55" i="1"/>
  <c r="N55" i="1"/>
  <c r="L55" i="1"/>
  <c r="K55" i="1"/>
  <c r="A55" i="1"/>
  <c r="P54" i="1"/>
  <c r="N54" i="1"/>
  <c r="L54" i="1"/>
  <c r="K54" i="1"/>
  <c r="A54" i="1"/>
  <c r="L53" i="1"/>
  <c r="N53" i="1" s="1"/>
  <c r="K53" i="1"/>
  <c r="G53" i="1"/>
  <c r="O53" i="1" s="1"/>
  <c r="P53" i="1" s="1"/>
  <c r="N52" i="1"/>
  <c r="L52" i="1"/>
  <c r="K52" i="1"/>
  <c r="G52" i="1"/>
  <c r="O52" i="1" s="1"/>
  <c r="L51" i="1"/>
  <c r="N51" i="1" s="1"/>
  <c r="K51" i="1"/>
  <c r="G51" i="1"/>
  <c r="O51" i="1" s="1"/>
  <c r="P50" i="1"/>
  <c r="N50" i="1"/>
  <c r="L50" i="1"/>
  <c r="K50" i="1"/>
  <c r="A50" i="1"/>
  <c r="P49" i="1"/>
  <c r="N49" i="1"/>
  <c r="L49" i="1"/>
  <c r="K49" i="1"/>
  <c r="A49" i="1"/>
  <c r="L48" i="1"/>
  <c r="N48" i="1" s="1"/>
  <c r="K48" i="1"/>
  <c r="I48" i="1"/>
  <c r="G48" i="1"/>
  <c r="O48" i="1" s="1"/>
  <c r="P47" i="1"/>
  <c r="N47" i="1"/>
  <c r="L47" i="1"/>
  <c r="K47" i="1"/>
  <c r="A47" i="1"/>
  <c r="P46" i="1"/>
  <c r="N46" i="1"/>
  <c r="L46" i="1"/>
  <c r="A46" i="1"/>
  <c r="P45" i="1"/>
  <c r="N45" i="1"/>
  <c r="L45" i="1"/>
  <c r="K45" i="1"/>
  <c r="A45" i="1"/>
  <c r="P44" i="1"/>
  <c r="N44" i="1"/>
  <c r="L44" i="1"/>
  <c r="K44" i="1"/>
  <c r="A44" i="1"/>
  <c r="N43" i="1"/>
  <c r="L43" i="1"/>
  <c r="K43" i="1"/>
  <c r="G43" i="1"/>
  <c r="O43" i="1" s="1"/>
  <c r="P43" i="1" s="1"/>
  <c r="L42" i="1"/>
  <c r="N42" i="1" s="1"/>
  <c r="K42" i="1"/>
  <c r="E42" i="1"/>
  <c r="G42" i="1" s="1"/>
  <c r="O42" i="1" s="1"/>
  <c r="P42" i="1" s="1"/>
  <c r="P41" i="1"/>
  <c r="N41" i="1"/>
  <c r="L41" i="1"/>
  <c r="K41" i="1"/>
  <c r="A41" i="1"/>
  <c r="P40" i="1"/>
  <c r="N40" i="1"/>
  <c r="L40" i="1"/>
  <c r="A40" i="1"/>
  <c r="P39" i="1"/>
  <c r="N39" i="1"/>
  <c r="L39" i="1"/>
  <c r="K39" i="1"/>
  <c r="A39" i="1"/>
  <c r="P38" i="1"/>
  <c r="N38" i="1"/>
  <c r="L38" i="1"/>
  <c r="K38" i="1"/>
  <c r="A38" i="1"/>
  <c r="L37" i="1"/>
  <c r="N37" i="1" s="1"/>
  <c r="K37" i="1"/>
  <c r="G37" i="1"/>
  <c r="O37" i="1" s="1"/>
  <c r="P36" i="1"/>
  <c r="N36" i="1"/>
  <c r="L36" i="1"/>
  <c r="K36" i="1"/>
  <c r="A36" i="1"/>
  <c r="P35" i="1"/>
  <c r="N35" i="1"/>
  <c r="L35" i="1"/>
  <c r="K35" i="1"/>
  <c r="A35" i="1"/>
  <c r="L34" i="1"/>
  <c r="N34" i="1" s="1"/>
  <c r="K34" i="1"/>
  <c r="G34" i="1"/>
  <c r="O34" i="1" s="1"/>
  <c r="P33" i="1"/>
  <c r="N33" i="1"/>
  <c r="L33" i="1"/>
  <c r="K33" i="1"/>
  <c r="A33" i="1"/>
  <c r="P32" i="1"/>
  <c r="N32" i="1"/>
  <c r="L32" i="1"/>
  <c r="A32" i="1"/>
  <c r="P31" i="1"/>
  <c r="N31" i="1"/>
  <c r="L31" i="1"/>
  <c r="K31" i="1"/>
  <c r="A31" i="1"/>
  <c r="P30" i="1"/>
  <c r="N30" i="1"/>
  <c r="L30" i="1"/>
  <c r="K30" i="1"/>
  <c r="A30" i="1"/>
  <c r="L29" i="1"/>
  <c r="N29" i="1" s="1"/>
  <c r="P29" i="1" s="1"/>
  <c r="K29" i="1"/>
  <c r="G29" i="1"/>
  <c r="L28" i="1"/>
  <c r="N28" i="1" s="1"/>
  <c r="P28" i="1" s="1"/>
  <c r="K28" i="1"/>
  <c r="G28" i="1"/>
  <c r="P27" i="1"/>
  <c r="N27" i="1"/>
  <c r="A27" i="1"/>
  <c r="P26" i="1"/>
  <c r="N26" i="1"/>
  <c r="A26" i="1"/>
  <c r="P25" i="1"/>
  <c r="N25" i="1"/>
  <c r="A25" i="1"/>
  <c r="P24" i="1"/>
  <c r="N24" i="1"/>
  <c r="A24" i="1"/>
  <c r="N23" i="1"/>
  <c r="G23" i="1"/>
  <c r="N22" i="1"/>
  <c r="P22" i="1" s="1"/>
  <c r="G22" i="1"/>
  <c r="N21" i="1"/>
  <c r="G21" i="1"/>
  <c r="N20" i="1"/>
  <c r="G20" i="1"/>
  <c r="N19" i="1"/>
  <c r="G19" i="1"/>
  <c r="N18" i="1"/>
  <c r="P18" i="1" s="1"/>
  <c r="G18" i="1"/>
  <c r="N17" i="1"/>
  <c r="G17" i="1"/>
  <c r="N16" i="1"/>
  <c r="G16" i="1"/>
  <c r="N15" i="1"/>
  <c r="G15" i="1"/>
  <c r="N14" i="1"/>
  <c r="P14" i="1" s="1"/>
  <c r="G14" i="1"/>
  <c r="N13" i="1"/>
  <c r="G13" i="1"/>
  <c r="N12" i="1"/>
  <c r="G12" i="1"/>
  <c r="N11" i="1"/>
  <c r="G11" i="1"/>
  <c r="N10" i="1"/>
  <c r="G10" i="1"/>
  <c r="N9" i="1"/>
  <c r="G9" i="1"/>
  <c r="A9" i="1"/>
  <c r="P219" i="1" l="1"/>
  <c r="P88" i="1"/>
  <c r="P65" i="1"/>
  <c r="P110" i="1"/>
  <c r="P128" i="1"/>
  <c r="P136" i="1"/>
  <c r="P150" i="1"/>
  <c r="P244" i="1"/>
  <c r="P260" i="1"/>
  <c r="P56" i="1"/>
  <c r="P34" i="1"/>
  <c r="P77" i="1"/>
  <c r="P11" i="1"/>
  <c r="P15" i="1"/>
  <c r="P19" i="1"/>
  <c r="P23" i="1"/>
  <c r="P52" i="1"/>
  <c r="P92" i="1"/>
  <c r="P152" i="1"/>
  <c r="P169" i="1"/>
  <c r="P171" i="1"/>
  <c r="P173" i="1"/>
  <c r="P210" i="1"/>
  <c r="P145" i="1"/>
  <c r="P223" i="1"/>
  <c r="P242" i="1"/>
  <c r="P268" i="1"/>
  <c r="P12" i="1"/>
  <c r="P16" i="1"/>
  <c r="P20" i="1"/>
  <c r="Q45" i="1"/>
  <c r="P66" i="1"/>
  <c r="P70" i="1"/>
  <c r="P102" i="1"/>
  <c r="P190" i="1"/>
  <c r="P202" i="1"/>
  <c r="P213" i="1"/>
  <c r="P269" i="1"/>
  <c r="P191" i="1"/>
  <c r="P203" i="1"/>
  <c r="P217" i="1"/>
  <c r="P226" i="1"/>
  <c r="P140" i="1"/>
  <c r="P163" i="1"/>
  <c r="P13" i="1"/>
  <c r="P17" i="1"/>
  <c r="P21" i="1"/>
  <c r="P89" i="1"/>
  <c r="P170" i="1"/>
  <c r="P172" i="1"/>
  <c r="P195" i="1"/>
  <c r="P271" i="1"/>
  <c r="P98" i="1"/>
  <c r="P9" i="1"/>
  <c r="Q25" i="1" s="1"/>
  <c r="P10" i="1"/>
  <c r="P91" i="1"/>
  <c r="P97" i="1"/>
  <c r="P99" i="1"/>
  <c r="P132" i="1"/>
  <c r="P144" i="1"/>
  <c r="P146" i="1"/>
  <c r="P165" i="1"/>
  <c r="P178" i="1"/>
  <c r="P184" i="1"/>
  <c r="P186" i="1"/>
  <c r="P188" i="1"/>
  <c r="P230" i="1"/>
  <c r="P94" i="1"/>
  <c r="P109" i="1"/>
  <c r="P138" i="1"/>
  <c r="P143" i="1"/>
  <c r="P48" i="1"/>
  <c r="P130" i="1"/>
  <c r="P139" i="1"/>
  <c r="P176" i="1"/>
  <c r="P192" i="1"/>
  <c r="P207" i="1"/>
  <c r="P216" i="1"/>
  <c r="P254" i="1"/>
  <c r="Q257" i="1" s="1"/>
  <c r="P270" i="1"/>
  <c r="P272" i="1"/>
  <c r="P69" i="1"/>
  <c r="Q85" i="1"/>
  <c r="F20" i="3"/>
  <c r="Q31" i="1"/>
  <c r="I21" i="2"/>
  <c r="P57" i="1"/>
  <c r="P72" i="1"/>
  <c r="P67" i="1"/>
  <c r="P37" i="1"/>
  <c r="Q39" i="1" s="1"/>
  <c r="P51" i="1"/>
  <c r="P59" i="1"/>
  <c r="P129" i="1"/>
  <c r="P131" i="1"/>
  <c r="P133" i="1"/>
  <c r="P241" i="1"/>
  <c r="P273" i="1"/>
  <c r="P95" i="1"/>
  <c r="A10" i="1"/>
  <c r="P160" i="1"/>
  <c r="P263" i="1"/>
  <c r="P212" i="1"/>
  <c r="P218" i="1"/>
  <c r="P232" i="1"/>
  <c r="Q237" i="1" s="1"/>
  <c r="P233" i="1"/>
  <c r="P264" i="1"/>
  <c r="N14" i="2"/>
  <c r="P14" i="2" s="1"/>
  <c r="P156" i="1"/>
  <c r="P183" i="1"/>
  <c r="P185" i="1"/>
  <c r="P187" i="1"/>
  <c r="P198" i="1"/>
  <c r="P262" i="1"/>
  <c r="P158" i="1"/>
  <c r="P101" i="1"/>
  <c r="P157" i="1"/>
  <c r="P159" i="1"/>
  <c r="P255" i="1"/>
  <c r="P108" i="1"/>
  <c r="P240" i="1"/>
  <c r="A11" i="1"/>
  <c r="P100" i="1"/>
  <c r="P196" i="1"/>
  <c r="P249" i="1"/>
  <c r="Q251" i="1" s="1"/>
  <c r="Q114" i="1" l="1"/>
  <c r="Q62" i="1"/>
  <c r="Q228" i="1"/>
  <c r="Q246" i="1"/>
  <c r="Q275" i="1"/>
  <c r="Q73" i="1"/>
  <c r="Q277" i="1"/>
  <c r="P277" i="1"/>
  <c r="A12" i="1"/>
  <c r="A13" i="1"/>
  <c r="I23" i="2"/>
  <c r="I22" i="2"/>
  <c r="Q278" i="1" l="1"/>
  <c r="Q281" i="1"/>
  <c r="Q280" i="1"/>
  <c r="Q279" i="1"/>
  <c r="A14" i="1"/>
  <c r="A15" i="1"/>
  <c r="Q282" i="1" l="1"/>
  <c r="A16" i="1"/>
  <c r="A17" i="1" s="1"/>
  <c r="A18" i="1" l="1"/>
  <c r="A19" i="1" l="1"/>
  <c r="A20" i="1"/>
  <c r="A21" i="1" s="1"/>
  <c r="A22" i="1" s="1"/>
  <c r="A23" i="1" s="1"/>
  <c r="A28" i="1" l="1"/>
  <c r="A29" i="1" s="1"/>
  <c r="A34" i="1" s="1"/>
  <c r="A37" i="1" s="1"/>
  <c r="A42" i="1" s="1"/>
  <c r="A43" i="1" s="1"/>
  <c r="A48" i="1" s="1"/>
  <c r="A51" i="1" l="1"/>
  <c r="A52" i="1" s="1"/>
  <c r="A53" i="1" s="1"/>
  <c r="A56" i="1" s="1"/>
  <c r="A57" i="1" s="1"/>
  <c r="A58" i="1" s="1"/>
  <c r="A59" i="1" s="1"/>
  <c r="A60" i="1" s="1"/>
  <c r="A65" i="1" s="1"/>
  <c r="A66" i="1" s="1"/>
  <c r="A67" i="1" s="1"/>
  <c r="A68" i="1" s="1"/>
  <c r="A69" i="1" s="1"/>
  <c r="A70" i="1" s="1"/>
  <c r="A72" i="1" s="1"/>
  <c r="A76" i="1" s="1"/>
  <c r="A77" i="1" s="1"/>
  <c r="A80" i="1" s="1"/>
  <c r="A81" i="1" s="1"/>
  <c r="A82" i="1" s="1"/>
  <c r="A83" i="1" s="1"/>
  <c r="A88" i="1" s="1"/>
  <c r="A89" i="1" s="1"/>
  <c r="A90" i="1" s="1"/>
  <c r="A91" i="1" s="1"/>
  <c r="A92" i="1" s="1"/>
  <c r="A93" i="1" s="1"/>
  <c r="A94" i="1" s="1"/>
  <c r="A95" i="1" s="1"/>
  <c r="A96" i="1" s="1"/>
  <c r="A97" i="1" s="1"/>
  <c r="A98" i="1" s="1"/>
  <c r="A99" i="1" s="1"/>
  <c r="A100" i="1" s="1"/>
  <c r="A101" i="1" s="1"/>
  <c r="A102" i="1" s="1"/>
  <c r="A105" i="1" s="1"/>
  <c r="A108" i="1" s="1"/>
  <c r="A109" i="1" s="1"/>
  <c r="A110" i="1" s="1"/>
  <c r="A111" i="1" s="1"/>
  <c r="A112" i="1" s="1"/>
  <c r="A118" i="1" s="1"/>
  <c r="A119" i="1" s="1"/>
  <c r="A120" i="1" s="1"/>
  <c r="A121" i="1" s="1"/>
  <c r="A122" i="1" s="1"/>
  <c r="A123" i="1" s="1"/>
  <c r="A124" i="1" s="1"/>
  <c r="A127" i="1" s="1"/>
  <c r="A128" i="1" s="1"/>
  <c r="A129" i="1" s="1"/>
  <c r="A130" i="1" s="1"/>
  <c r="A131" i="1" s="1"/>
  <c r="A132" i="1" s="1"/>
  <c r="A133" i="1" s="1"/>
  <c r="A136" i="1" s="1"/>
  <c r="A137" i="1" s="1"/>
  <c r="A138" i="1" s="1"/>
  <c r="A139" i="1" s="1"/>
  <c r="A140" i="1" s="1"/>
  <c r="A143" i="1" s="1"/>
  <c r="A144" i="1" s="1"/>
  <c r="A145" i="1" s="1"/>
  <c r="A146" i="1" s="1"/>
  <c r="A149" i="1" s="1"/>
  <c r="A150" i="1" s="1"/>
  <c r="A151" i="1" s="1"/>
  <c r="A152" i="1" s="1"/>
  <c r="A153" i="1" s="1"/>
  <c r="A156" i="1" s="1"/>
  <c r="A157" i="1" s="1"/>
  <c r="A158" i="1" s="1"/>
  <c r="A159" i="1" s="1"/>
  <c r="A160" i="1" s="1"/>
  <c r="A163" i="1" s="1"/>
  <c r="A164" i="1" s="1"/>
  <c r="A165" i="1" s="1"/>
  <c r="A166" i="1" s="1"/>
  <c r="A169" i="1" s="1"/>
  <c r="A170" i="1" s="1"/>
  <c r="A171" i="1" s="1"/>
  <c r="A172" i="1" s="1"/>
  <c r="A173" i="1" s="1"/>
  <c r="A176" i="1" s="1"/>
  <c r="A177" i="1" s="1"/>
  <c r="A178" i="1" s="1"/>
  <c r="A179" i="1" s="1"/>
  <c r="A180" i="1" s="1"/>
  <c r="A183" i="1" s="1"/>
  <c r="A184" i="1" s="1"/>
  <c r="A185" i="1" s="1"/>
  <c r="A186" i="1" s="1"/>
  <c r="A187" i="1" s="1"/>
  <c r="A188" i="1" s="1"/>
  <c r="A190" i="1" s="1"/>
  <c r="A191" i="1" s="1"/>
  <c r="A192" i="1" s="1"/>
  <c r="A195" i="1" s="1"/>
  <c r="A196" i="1" s="1"/>
  <c r="A197" i="1" s="1"/>
  <c r="A198" i="1" s="1"/>
  <c r="A199" i="1" s="1"/>
  <c r="A200" i="1" s="1"/>
  <c r="A201" i="1" s="1"/>
  <c r="A202" i="1" s="1"/>
  <c r="A203" i="1" s="1"/>
  <c r="A206" i="1" s="1"/>
  <c r="A207" i="1" s="1"/>
  <c r="A210" i="1" s="1"/>
  <c r="A211" i="1" s="1"/>
  <c r="A212" i="1" s="1"/>
  <c r="A213" i="1" s="1"/>
  <c r="A216" i="1" s="1"/>
  <c r="A217" i="1" s="1"/>
  <c r="A218" i="1" s="1"/>
  <c r="A219" i="1" s="1"/>
  <c r="A220" i="1" s="1"/>
  <c r="A223" i="1" s="1"/>
  <c r="A224" i="1" s="1"/>
  <c r="A225" i="1" s="1"/>
  <c r="A226" i="1" s="1"/>
  <c r="A230" i="1" s="1"/>
  <c r="A231" i="1" s="1"/>
  <c r="A232" i="1" s="1"/>
  <c r="A233" i="1" s="1"/>
  <c r="A234" i="1" s="1"/>
  <c r="A235" i="1" s="1"/>
  <c r="A240" i="1" s="1"/>
  <c r="A241" i="1" s="1"/>
  <c r="A242" i="1" s="1"/>
  <c r="A243" i="1" s="1"/>
  <c r="A244" i="1" s="1"/>
  <c r="A249" i="1" s="1"/>
  <c r="A254" i="1" s="1"/>
  <c r="A255" i="1" s="1"/>
  <c r="A260" i="1" s="1"/>
  <c r="A261" i="1" s="1"/>
  <c r="A262" i="1" s="1"/>
  <c r="A263" i="1" s="1"/>
  <c r="A264" i="1" s="1"/>
  <c r="A265" i="1" s="1"/>
  <c r="A266" i="1" s="1"/>
  <c r="A267" i="1" s="1"/>
  <c r="A268" i="1" s="1"/>
  <c r="A269" i="1" s="1"/>
  <c r="A270" i="1" s="1"/>
  <c r="A271" i="1" s="1"/>
  <c r="A272" i="1" s="1"/>
  <c r="A273" i="1" s="1"/>
</calcChain>
</file>

<file path=xl/sharedStrings.xml><?xml version="1.0" encoding="utf-8"?>
<sst xmlns="http://schemas.openxmlformats.org/spreadsheetml/2006/main" count="1100" uniqueCount="330">
  <si>
    <t>ITEM #</t>
  </si>
  <si>
    <t>DWG #</t>
  </si>
  <si>
    <t>CSI #/SUB DETAIL</t>
  </si>
  <si>
    <t>DESCRIPTION</t>
  </si>
  <si>
    <t>QTY.</t>
  </si>
  <si>
    <t>WASTE</t>
  </si>
  <si>
    <t>QTY. W/ WASTE</t>
  </si>
  <si>
    <t>UNIT</t>
  </si>
  <si>
    <t>UNIT LABOR</t>
  </si>
  <si>
    <t>LBR HRS</t>
  </si>
  <si>
    <t>MEN</t>
  </si>
  <si>
    <t>RATE/HR</t>
  </si>
  <si>
    <t>UNIT MATERIAL</t>
  </si>
  <si>
    <t>TOTAL LABOR COST</t>
  </si>
  <si>
    <t>TOTAL MATERIAL
COST</t>
  </si>
  <si>
    <t>TOTAL COST</t>
  </si>
  <si>
    <t>TRADE COST</t>
  </si>
  <si>
    <t>010000</t>
  </si>
  <si>
    <t>DIVISION 01 — GENERAL REQUIREMENTS</t>
  </si>
  <si>
    <t>Submittal Procedures</t>
  </si>
  <si>
    <t>LS</t>
  </si>
  <si>
    <t>Temporary Facilities and Controls</t>
  </si>
  <si>
    <t xml:space="preserve">Closeout Procedures </t>
  </si>
  <si>
    <t>Payment Procedures</t>
  </si>
  <si>
    <t>Contract Modification Procedures</t>
  </si>
  <si>
    <t xml:space="preserve">Maintenance &amp; Traffic Protection </t>
  </si>
  <si>
    <t>Allowance for Site Supervisor</t>
  </si>
  <si>
    <t>Allowance for Site Staff (Guard etc.)</t>
  </si>
  <si>
    <t>Allowance for Temporary Residence, Toilets etc.</t>
  </si>
  <si>
    <t xml:space="preserve">Allowance for Permits </t>
  </si>
  <si>
    <t>Allowance for Rental Equipment</t>
  </si>
  <si>
    <t>Allowance for Cleaning &amp; Protections</t>
  </si>
  <si>
    <t>Allowance for Dumpsters</t>
  </si>
  <si>
    <t>Allowance: Temporary Rest Room, Lockers &amp; Lunch Area</t>
  </si>
  <si>
    <t>Misc. Allowances</t>
  </si>
  <si>
    <t>SUBTOTAL</t>
  </si>
  <si>
    <t>020000</t>
  </si>
  <si>
    <t>DIVISION 02 — EXISTING CONDITIONS</t>
  </si>
  <si>
    <t>SELECTIVE DEMOLITION</t>
  </si>
  <si>
    <t>ST-1</t>
  </si>
  <si>
    <t>Remove Existing Tree</t>
  </si>
  <si>
    <t>EA</t>
  </si>
  <si>
    <t>Remove Drop Curb</t>
  </si>
  <si>
    <t>LF</t>
  </si>
  <si>
    <t/>
  </si>
  <si>
    <t>030000</t>
  </si>
  <si>
    <t>DIVISION 03 — CONCRETE</t>
  </si>
  <si>
    <t>PRE-CAST CONCRETE</t>
  </si>
  <si>
    <t>A-8</t>
  </si>
  <si>
    <t>4"x12" Precast Concrete Coping Attached to Parapet w/ Steel Anchor Bolts</t>
  </si>
  <si>
    <t>SLAB ON GRADE</t>
  </si>
  <si>
    <t>A4-A7</t>
  </si>
  <si>
    <t>Slab On Grade</t>
  </si>
  <si>
    <t>SF</t>
  </si>
  <si>
    <t>040000</t>
  </si>
  <si>
    <t>DIVISION 04 — MASONRY</t>
  </si>
  <si>
    <t>UNIT MASONRY</t>
  </si>
  <si>
    <t>10" Brick Parapet Wall (3'H)</t>
  </si>
  <si>
    <t>Details/A-12</t>
  </si>
  <si>
    <t>8" THK CMU Wall</t>
  </si>
  <si>
    <t>050000</t>
  </si>
  <si>
    <t>DIVISION 05 — METALS</t>
  </si>
  <si>
    <t>FLOOR ASSEMBLY</t>
  </si>
  <si>
    <t>2-1/2" Light Weight Concrete Composite Slab w/ 6x6 W1.4xW1.4 WWM
1-1/2" 20GA. Steel Deck Over Floor Joists</t>
  </si>
  <si>
    <t>STAIR</t>
  </si>
  <si>
    <t>3'W Metal Stair w/ Cement Filled Treads</t>
  </si>
  <si>
    <t>RISERs</t>
  </si>
  <si>
    <t>3'6"W Metal Stair w/ Cement Filled Treads</t>
  </si>
  <si>
    <t>6'W Metal Stair w/ Cement Filled Treads</t>
  </si>
  <si>
    <t>RAILINGS</t>
  </si>
  <si>
    <t>Stair Handrail</t>
  </si>
  <si>
    <t>Stair Guardrail</t>
  </si>
  <si>
    <t>40"H Iron Railing</t>
  </si>
  <si>
    <t>Balcony Railing</t>
  </si>
  <si>
    <t>A5</t>
  </si>
  <si>
    <t>2'H Decorative Iron Railing</t>
  </si>
  <si>
    <t>060000</t>
  </si>
  <si>
    <t>DIVISION 06 — WOOD, PLASTICS &amp; COMPOSITIES</t>
  </si>
  <si>
    <t>MILL WORK</t>
  </si>
  <si>
    <t>Walk-In Closet</t>
  </si>
  <si>
    <t>Closet Rod &amp; Shelving</t>
  </si>
  <si>
    <t>Linen Closet</t>
  </si>
  <si>
    <t>2'D Kitchen Base Cabinet</t>
  </si>
  <si>
    <t>1'D Kitchen Overhead Cabinet</t>
  </si>
  <si>
    <t>(2'6"Hx2'Wx1'8"D) Vanity Cabinet</t>
  </si>
  <si>
    <r>
      <rPr>
        <b/>
        <u/>
        <sz val="12"/>
        <color theme="1"/>
        <rFont val="Calibri"/>
        <family val="2"/>
      </rPr>
      <t xml:space="preserve">Allowance </t>
    </r>
    <r>
      <rPr>
        <u/>
        <sz val="12"/>
        <color theme="1"/>
        <rFont val="Calibri"/>
        <family val="2"/>
      </rPr>
      <t>for Shim &amp; Blocking</t>
    </r>
  </si>
  <si>
    <t>070000</t>
  </si>
  <si>
    <t>DIVISION 07 — THERMAL &amp; MOISTURE PROTECTION</t>
  </si>
  <si>
    <t>ROOFING</t>
  </si>
  <si>
    <r>
      <rPr>
        <b/>
        <sz val="12"/>
        <color theme="1"/>
        <rFont val="Calibri"/>
        <family val="2"/>
      </rPr>
      <t>Roofing as:</t>
    </r>
    <r>
      <rPr>
        <sz val="12"/>
        <color theme="1"/>
        <rFont val="Calibri"/>
        <family val="2"/>
      </rPr>
      <t xml:space="preserve">
-Steel Roof Deck Min. 22 Gauge
-Spray Applied Fire Resistive Material (Min. 1-1/4" Thick)
-1-5 Vulcraft A-20 Metal Deck
-4" Rigid Insulation
-5/8" UL Design 305 Gyp. BB.
-Hot Mopped or Cold Application Bituminous Material</t>
    </r>
  </si>
  <si>
    <t>A-6</t>
  </si>
  <si>
    <r>
      <rPr>
        <b/>
        <sz val="12"/>
        <color theme="1"/>
        <rFont val="Calibri"/>
        <family val="2"/>
      </rPr>
      <t>Roof Terrace as:</t>
    </r>
    <r>
      <rPr>
        <sz val="12"/>
        <color theme="1"/>
        <rFont val="Calibri"/>
        <family val="2"/>
      </rPr>
      <t xml:space="preserve">
-Steel Roof Deck Min. 22 Gauge
-Spray Applied Fire Resistive Material (Min. 1-1/4" Thick)
-1-5 Vulcraft A-20 Metal Deck
-4" Rigid Insulation
-5/8" UL Design 305 Gyp. BB.
-Hot Mopped or Cold Application Bituminous Material</t>
    </r>
  </si>
  <si>
    <t>SHEET METAL &amp; FLASHING</t>
  </si>
  <si>
    <t>Roof Drain</t>
  </si>
  <si>
    <t>Scupper Drain</t>
  </si>
  <si>
    <t>6" Pre-Molded Cant Strip</t>
  </si>
  <si>
    <t>Metal Cap Flashing</t>
  </si>
  <si>
    <t>080000</t>
  </si>
  <si>
    <t>DIVISION 08 — OPENINGS</t>
  </si>
  <si>
    <t>DOORS</t>
  </si>
  <si>
    <t>A-15</t>
  </si>
  <si>
    <t>(3'x7') Metal Door U w/ Metal Frame</t>
  </si>
  <si>
    <t>(3'x7') Metal Door U1 w/ Metal Frame 
(90Min Rated FPSC)</t>
  </si>
  <si>
    <t>(3'x7') Metal Door S w/ Metal Frame
Weather Stripping w/ Vision Panel
(90Min Rated FPSC)</t>
  </si>
  <si>
    <t>(3'x7') Metal Door A1 w/ Metal Frame
Weather Stripping w/ Lock Hardware
(90Min Rated FPSC)
w/6" Aluminum Saddle</t>
  </si>
  <si>
    <t>(3'x7') Metal/Glass Door A2 w/ Metal Frame
Weather Stripping w/ Lock Hardware
(90Min Rated FPSC)
w/6" Aluminum Saddle</t>
  </si>
  <si>
    <t>(2)(3'x7') Metal/Glass Door A2 w/ Metal Frame
Weather Stripping w/ Lock Hardware
(90Min Rated FPSC)
w/6" Aluminum Saddle</t>
  </si>
  <si>
    <t>(6'2"x6'8") Metal/Glass Door A3 w/ Metal Frame
Weather Stripping w/ Lock Hardware
w/4"x3/4" Marble Saddle w/ Beveled Edges</t>
  </si>
  <si>
    <t>(3'x7') Metal/Glass Door A4 w/ Metal Frame
Weather Stripping w/ Lock Hardware
w/4"x3/4" Marble Saddle w/ Beveled Edges</t>
  </si>
  <si>
    <t>(3'x7') Metal Door B1 w/ Metal Frame
Weather Stripping w/ Lock Hardware
(90 Min Rated FPSC)
w/4"x3/4" Marble Saddle w/ Beveled Edges</t>
  </si>
  <si>
    <t>(2'8"x6'8") Wood Door B2 w/ Wood Frame
w/4"x3/4" Marble Saddle w/ Beveled Edges</t>
  </si>
  <si>
    <t>(2'6"x6'8") Wood Door B3 w/ Wood Frame
w/4"x3/4" Marble Saddle w/ Beveled Edges</t>
  </si>
  <si>
    <t>(2'6"x6'8") Closet Wood Door B4 w/ Wood Frame
w/4"x3/4" Marble Saddle w/ Beveled Edges</t>
  </si>
  <si>
    <t>(2)(2'0"x6'8") Closet Wood Door B5 w/ Wood Frame</t>
  </si>
  <si>
    <t>(2'6"x6'8")Utility Closet Wood Door B6 w/ Wood Frame</t>
  </si>
  <si>
    <r>
      <rPr>
        <sz val="12"/>
        <color theme="1"/>
        <rFont val="Calibri"/>
        <family val="2"/>
      </rPr>
      <t>(2'6"x6'8")Utility Closet Wood Door B6 w/ Wood Frame 
(</t>
    </r>
    <r>
      <rPr>
        <sz val="12"/>
        <color rgb="FFFF0000"/>
        <rFont val="Calibri"/>
        <family val="2"/>
      </rPr>
      <t>Assumed, No Details Mentioned)</t>
    </r>
  </si>
  <si>
    <t>FDOOR HARDWARE SET</t>
  </si>
  <si>
    <t>Door Hardware Set</t>
  </si>
  <si>
    <t>WINDOWS</t>
  </si>
  <si>
    <t>(6'x4') Double Hung Glazed Window W1</t>
  </si>
  <si>
    <t>(5'x4') Double Hung Glazed Window W2</t>
  </si>
  <si>
    <t>(3'x5') Double Hung Glazed Window W3</t>
  </si>
  <si>
    <t>(3'x5') Double Hung Glazed Window W4</t>
  </si>
  <si>
    <t>4'x5' Skylight w/ 40 S.I of Fixed Vent &amp; Wire Screen Over &amp; Under</t>
  </si>
  <si>
    <t>090000</t>
  </si>
  <si>
    <t>DIVISION 09 — FINISHES</t>
  </si>
  <si>
    <t>GYPSUM BOARD ASSEMBLIES</t>
  </si>
  <si>
    <t>2-HR Rated Exterior Wall Type A/B As:</t>
  </si>
  <si>
    <t>(2) Layers 5/8" Gypsum Board on One Side</t>
  </si>
  <si>
    <t>5/8" Sheathing on One Side</t>
  </si>
  <si>
    <t>R-15 Spray-On Closed Cell Insulation</t>
  </si>
  <si>
    <t>Waterproofing Membrane</t>
  </si>
  <si>
    <t>6" 14 GA. Metal Studs @16" O.C</t>
  </si>
  <si>
    <t>6" Top &amp; Bottom Track Runners</t>
  </si>
  <si>
    <t>Acoustic Sealant</t>
  </si>
  <si>
    <t>2-HR Rated Exterior Wall Type C As:</t>
  </si>
  <si>
    <t>2-HR Rated Exterior Wall Type D1 As:</t>
  </si>
  <si>
    <t>(1) Layer 5/8" Gypsum Board on One Side</t>
  </si>
  <si>
    <t>3-5/8" 14 GA. Metal Studs @16" O.C</t>
  </si>
  <si>
    <t>3-5/8" Top &amp; Bottom Track Runners</t>
  </si>
  <si>
    <t>2-HR Rated Load Bearing Wall Type E As:</t>
  </si>
  <si>
    <t>(1) Layer 5/8" Fire code Gypsum Board on One Side</t>
  </si>
  <si>
    <t>2-1/2" 14 GA. Metal Studs @16" O.C</t>
  </si>
  <si>
    <t>2-/2" Top &amp; Bottom Track Runners</t>
  </si>
  <si>
    <t>Plumbing Chase Wall Type F As:</t>
  </si>
  <si>
    <t>(2) Layers 5/8" Tile Backer Board on One Side</t>
  </si>
  <si>
    <t>Plumbing Chase Wall Type G As:</t>
  </si>
  <si>
    <t>Exterior Concrete Furring Wall Type H1 As:</t>
  </si>
  <si>
    <t>Interior Partition Wall Type J As:</t>
  </si>
  <si>
    <t>(1) Layer 5/8" Gypsum Board on EA Side</t>
  </si>
  <si>
    <t>2-HR Rated Demising Wall Type K As:</t>
  </si>
  <si>
    <t>(2) Layers 5/8" Gypsum Board on EA Side</t>
  </si>
  <si>
    <t>3" THK Sound Attenuation Insulation</t>
  </si>
  <si>
    <t>2-HR Rated Plumbing Chase Wall Type K1 As:</t>
  </si>
  <si>
    <t>(2) Layers 5/8" Fire code Gypsum Board on EA Side</t>
  </si>
  <si>
    <t>(1) Layer 5/8" Tile Backer Board on One Side</t>
  </si>
  <si>
    <t>Nails &amp; Screws</t>
  </si>
  <si>
    <r>
      <rPr>
        <sz val="12"/>
        <color theme="1"/>
        <rFont val="Calibri"/>
        <family val="2"/>
      </rPr>
      <t xml:space="preserve">Taping </t>
    </r>
    <r>
      <rPr>
        <b/>
        <sz val="12"/>
        <color theme="1"/>
        <rFont val="Calibri"/>
        <family val="2"/>
      </rPr>
      <t>(500 FT)</t>
    </r>
  </si>
  <si>
    <t>ROLLS</t>
  </si>
  <si>
    <t>Mudding Compound</t>
  </si>
  <si>
    <t>GAL</t>
  </si>
  <si>
    <t>Sealed Concrete</t>
  </si>
  <si>
    <t>Exterior Pavers</t>
  </si>
  <si>
    <t>Corridor Tile Flooring</t>
  </si>
  <si>
    <t>Vestibule &amp; Lobby Tile Flooring</t>
  </si>
  <si>
    <t>Terrace Pavers</t>
  </si>
  <si>
    <t>Bathroom Floor Tile</t>
  </si>
  <si>
    <t>Kitchen Tile Flooring</t>
  </si>
  <si>
    <t>Unit Wood Flooring</t>
  </si>
  <si>
    <t>Balcony Flooring</t>
  </si>
  <si>
    <t>2'x2' ACT (Assumed)</t>
  </si>
  <si>
    <t>2 HR Rated Ceiling 5/8" Type 'X' Fire code GWB Over 7/8" Metal Furring</t>
  </si>
  <si>
    <t>WALL FINISHES</t>
  </si>
  <si>
    <t>A13-A14</t>
  </si>
  <si>
    <t>Bathroom Wall Tile</t>
  </si>
  <si>
    <t>Kitchen Backsplash Tile</t>
  </si>
  <si>
    <t>Tile Base</t>
  </si>
  <si>
    <t>Wood Base</t>
  </si>
  <si>
    <t>EXTERIOR FINISHES</t>
  </si>
  <si>
    <t>A9-A10</t>
  </si>
  <si>
    <t>EFIS Stucco</t>
  </si>
  <si>
    <t>Stucco Finish</t>
  </si>
  <si>
    <t>Brick Veneer</t>
  </si>
  <si>
    <t>Stone Veneer</t>
  </si>
  <si>
    <t>Cornice Trim</t>
  </si>
  <si>
    <t>PAINT</t>
  </si>
  <si>
    <t>Wall Paint</t>
  </si>
  <si>
    <t>Open Ceiling (Paint Assumed)</t>
  </si>
  <si>
    <t>Ceiling Paint</t>
  </si>
  <si>
    <t>Door Paint</t>
  </si>
  <si>
    <t>100000</t>
  </si>
  <si>
    <t>DIVISION 10 — SPECIALITIES</t>
  </si>
  <si>
    <t>42" Grab Bar</t>
  </si>
  <si>
    <t>30" Grab Bar</t>
  </si>
  <si>
    <t>Tissue Holder</t>
  </si>
  <si>
    <t>Soap Dispenser</t>
  </si>
  <si>
    <t>Mirror</t>
  </si>
  <si>
    <t>Medicine Cabinet</t>
  </si>
  <si>
    <t>110000</t>
  </si>
  <si>
    <t>DIVISION 11 — EQUIPMENT</t>
  </si>
  <si>
    <t>KITCHEN &amp; LAUNDRY</t>
  </si>
  <si>
    <t>Washer/Dryer</t>
  </si>
  <si>
    <t>Electric Range</t>
  </si>
  <si>
    <t>Dishwasher</t>
  </si>
  <si>
    <t>Range Hood</t>
  </si>
  <si>
    <t>Refrigerator</t>
  </si>
  <si>
    <t>120000</t>
  </si>
  <si>
    <t>DIVISION 12 — FURNISHINGS</t>
  </si>
  <si>
    <t>COUNTERTOPS &amp; BACKSPLASH</t>
  </si>
  <si>
    <t>Solid Surface Countertop</t>
  </si>
  <si>
    <t>140000</t>
  </si>
  <si>
    <t>DIVISION 14 — CONVEYING EQUIPMENT</t>
  </si>
  <si>
    <t>LIFT/ESCALATOR/CONVEYOR BELT</t>
  </si>
  <si>
    <t>24" Dia 16 GA. Chute 
(5 Floors, Building Height 61.5')</t>
  </si>
  <si>
    <t>(6'5-1/2" x 5'9-1/4") Elevator
(5 Story, Total Rise 50')</t>
  </si>
  <si>
    <t>320000</t>
  </si>
  <si>
    <t>DIVISION 32 — EXTERIOR IMPROVEMENTS</t>
  </si>
  <si>
    <t>SITE WORK</t>
  </si>
  <si>
    <t>Car Wheel Stop</t>
  </si>
  <si>
    <t>Parking Numbers Paint</t>
  </si>
  <si>
    <t>Parking Stripes (For 1 Car Park Area)</t>
  </si>
  <si>
    <t>Handicap Parking Paint (For 1 Car Park Area)</t>
  </si>
  <si>
    <t>Recycling Bins</t>
  </si>
  <si>
    <t>Parking Barrier Arm</t>
  </si>
  <si>
    <t>Street Light</t>
  </si>
  <si>
    <t>4'H Rough Iron Decorative Fence</t>
  </si>
  <si>
    <t>Wood Fence</t>
  </si>
  <si>
    <t>6'H Steel Chain Link Fence</t>
  </si>
  <si>
    <t>4'H Steel Fence</t>
  </si>
  <si>
    <t>Concrete Curb</t>
  </si>
  <si>
    <t>Drop Curb</t>
  </si>
  <si>
    <t>Sodded Area</t>
  </si>
  <si>
    <t>TOTAL AMOUNT</t>
  </si>
  <si>
    <t>CONTIGENCIES (5%)</t>
  </si>
  <si>
    <t>OVERHEAD AND PROFIT (10%)</t>
  </si>
  <si>
    <t>TAX (7.5%)</t>
  </si>
  <si>
    <t>PERFORMANCE AND PAYMENT BONDS</t>
  </si>
  <si>
    <t>TOTAL BASEBID</t>
  </si>
  <si>
    <r>
      <rPr>
        <b/>
        <sz val="12"/>
        <color theme="1"/>
        <rFont val="Calibri"/>
        <family val="2"/>
      </rPr>
      <t xml:space="preserve">General Exclusions: </t>
    </r>
    <r>
      <rPr>
        <sz val="12"/>
        <color rgb="FFFF0000"/>
        <rFont val="Calibri"/>
        <family val="2"/>
      </rPr>
      <t>Any kind of controlled inspection, contaminated material, architect and engineering fees, security, building charges, signage, sign off, protection of adjoining building (if any), any work not mentioned above.</t>
    </r>
  </si>
  <si>
    <r>
      <rPr>
        <b/>
        <sz val="12"/>
        <color theme="1"/>
        <rFont val="Calibri"/>
        <family val="2"/>
      </rPr>
      <t xml:space="preserve">General Notes: </t>
    </r>
    <r>
      <rPr>
        <b/>
        <sz val="12"/>
        <color rgb="FFFF0000"/>
        <rFont val="Calibri"/>
        <family val="2"/>
      </rPr>
      <t>The</t>
    </r>
    <r>
      <rPr>
        <b/>
        <sz val="12"/>
        <color theme="1"/>
        <rFont val="Calibri"/>
        <family val="2"/>
      </rPr>
      <t xml:space="preserve"> </t>
    </r>
    <r>
      <rPr>
        <b/>
        <sz val="12"/>
        <color rgb="FFFF0000"/>
        <rFont val="Calibri"/>
        <family val="2"/>
      </rPr>
      <t>prices used are taken from RSMeans online i.e. the standard pricing, the company is not responsible for any kind of variations in the prices. So it is preferred to review the prices.</t>
    </r>
  </si>
  <si>
    <t xml:space="preserve">PROJECT: </t>
  </si>
  <si>
    <t>625 PARK AVE PHASE 1B</t>
  </si>
  <si>
    <t xml:space="preserve">ADDRESS: </t>
  </si>
  <si>
    <t>625 PARK AVENUE,</t>
  </si>
  <si>
    <t>NEW YORK, NY-10065.</t>
  </si>
  <si>
    <t>DATE</t>
  </si>
  <si>
    <t>CSI SEC.</t>
  </si>
  <si>
    <t>UNIT COST</t>
  </si>
  <si>
    <t>Single side areas</t>
  </si>
  <si>
    <t>SCOPE OF WORK</t>
  </si>
  <si>
    <t>Dry</t>
  </si>
  <si>
    <t>Wet</t>
  </si>
  <si>
    <t>09 29</t>
  </si>
  <si>
    <t>2 layered 5/8" thick USG fiberock brand panels for walls and ceilings.</t>
  </si>
  <si>
    <t>sf</t>
  </si>
  <si>
    <t>Type 1+Type 4+Type 6+ceiling</t>
  </si>
  <si>
    <t>Type 1</t>
  </si>
  <si>
    <t>2 layerd 5/8" thick USG fiberock aqua tough brand panels for wall and ceilings in wet areas.</t>
  </si>
  <si>
    <t>Type 1+Type 4+Type 6+wet ceiling</t>
  </si>
  <si>
    <t>Type 2</t>
  </si>
  <si>
    <t>2 layered 2 HR rated 5/8" thick USG fiberock brand panels for walls.</t>
  </si>
  <si>
    <t>Type 3</t>
  </si>
  <si>
    <t>2 layered 2 HR rated 5/8" thick USG fiberock  aqua tough brand panels for walls in wet areas.</t>
  </si>
  <si>
    <t>Type 4</t>
  </si>
  <si>
    <t>3 layered 3 HR rated 5/8" thick USG fiberock brand panels for walls.</t>
  </si>
  <si>
    <t>Type 7</t>
  </si>
  <si>
    <t>Type 5</t>
  </si>
  <si>
    <t>09 26</t>
  </si>
  <si>
    <t>3/32" thick gypsum veneer plaster skim coat.</t>
  </si>
  <si>
    <t>Type 1+Type 2+ Type 4+Type 5+Type 6 +Type 7</t>
  </si>
  <si>
    <t>Type 6</t>
  </si>
  <si>
    <t>09 22 16</t>
  </si>
  <si>
    <t>3-5/8" steel studs 20 GA @ 16" O.C.</t>
  </si>
  <si>
    <t>Type 1+Type 2+Type 6+Type 7</t>
  </si>
  <si>
    <t>10 22 16</t>
  </si>
  <si>
    <t xml:space="preserve">1-5/8" steel studs 20 GA @ 12" O.C. </t>
  </si>
  <si>
    <t>Type 8</t>
  </si>
  <si>
    <t>09 22 26</t>
  </si>
  <si>
    <t>Ceiling suspension system.</t>
  </si>
  <si>
    <t>Ceiling</t>
  </si>
  <si>
    <t>07 21 16</t>
  </si>
  <si>
    <t>Batt Insulation.</t>
  </si>
  <si>
    <t>Type 1+Type 2+ Type 6</t>
  </si>
  <si>
    <t>Batt Insulation type SAFB.</t>
  </si>
  <si>
    <t>SUB TOTAL</t>
  </si>
  <si>
    <t>INSURANCE (3%)</t>
  </si>
  <si>
    <t>TOTAL BASE BID</t>
  </si>
  <si>
    <t>Exclusions</t>
  </si>
  <si>
    <t>Mouldings</t>
  </si>
  <si>
    <t>Patch work</t>
  </si>
  <si>
    <t>Fixtures</t>
  </si>
  <si>
    <t>Electrical work</t>
  </si>
  <si>
    <t>Stone and/or tile work</t>
  </si>
  <si>
    <t>Wall type 8 [no details on provided on the drawing]</t>
  </si>
  <si>
    <t xml:space="preserve">625 PARK AVENUE </t>
  </si>
  <si>
    <t>NEW YORK, NY 10065</t>
  </si>
  <si>
    <t>5/8" 2 layered USG fiberock brand panels.</t>
  </si>
  <si>
    <t>5/8" 2 layered USG fiberock aqua tough brand panels. (Wet area).</t>
  </si>
  <si>
    <t>Height 9'6"</t>
  </si>
  <si>
    <t>2 HR rated 5/8" 2 layered USG fiberock brand panels.</t>
  </si>
  <si>
    <t>For Doors &amp; Cabinets 1'3"</t>
  </si>
  <si>
    <t>2 HR rated 5/8" 2 layered USG fiberock  aqua tough brand panels. (Wet area).</t>
  </si>
  <si>
    <t>3 HR rated 5/8" 3 layered USG fiberock brand panels.</t>
  </si>
  <si>
    <t>3 5/8" steel studs 20 GA @ 16" O.C.</t>
  </si>
  <si>
    <t xml:space="preserve">1 5/8" steel studs 20 GA @ 12" O.C. </t>
  </si>
  <si>
    <t>Batt sound Insulation.</t>
  </si>
  <si>
    <t>Batt sound Insulation type SAFB.</t>
  </si>
  <si>
    <t>QTY Details</t>
  </si>
  <si>
    <t>TOTAL</t>
  </si>
  <si>
    <t>N/A</t>
  </si>
  <si>
    <t>No details given</t>
  </si>
  <si>
    <t>Wet Ceiling</t>
  </si>
  <si>
    <t>DETAILS</t>
  </si>
  <si>
    <t xml:space="preserve">Type 1- Interior Partition </t>
  </si>
  <si>
    <t>Type 2- 2HR rated Interior Partition</t>
  </si>
  <si>
    <t xml:space="preserve">Type </t>
  </si>
  <si>
    <r>
      <rPr>
        <sz val="12"/>
        <color rgb="FFC00000"/>
        <rFont val="Calibri"/>
        <family val="2"/>
      </rPr>
      <t>2 layers 5/8' USG fiberock brand panels</t>
    </r>
    <r>
      <rPr>
        <sz val="12"/>
        <color theme="1"/>
        <rFont val="Calibri"/>
        <family val="2"/>
      </rPr>
      <t xml:space="preserve"> (Fiberock aqua tough brand at all wet areas)</t>
    </r>
    <r>
      <rPr>
        <sz val="12"/>
        <color theme="1"/>
        <rFont val="Calibri"/>
        <family val="2"/>
      </rPr>
      <t xml:space="preserve"> Glue second layer, finished with</t>
    </r>
    <r>
      <rPr>
        <sz val="12"/>
        <color rgb="FF92D050"/>
        <rFont val="Calibri"/>
        <family val="2"/>
      </rPr>
      <t xml:space="preserve"> 3-32" thick gypsum veneer plaster skim coat</t>
    </r>
    <r>
      <rPr>
        <sz val="12"/>
        <color theme="1"/>
        <rFont val="Calibri"/>
        <family val="2"/>
      </rPr>
      <t xml:space="preserve">. </t>
    </r>
    <r>
      <rPr>
        <b/>
        <sz val="12"/>
        <color rgb="FFFFC000"/>
        <rFont val="Calibri"/>
        <family val="2"/>
      </rPr>
      <t>3 5/8" Stl studs 20 GA @16" O.C</t>
    </r>
    <r>
      <rPr>
        <sz val="12"/>
        <color theme="1"/>
        <rFont val="Calibri"/>
        <family val="2"/>
      </rPr>
      <t xml:space="preserve"> with </t>
    </r>
    <r>
      <rPr>
        <sz val="12"/>
        <color rgb="FF0070C0"/>
        <rFont val="Calibri"/>
        <family val="2"/>
      </rPr>
      <t>Batt insulation</t>
    </r>
    <r>
      <rPr>
        <sz val="12"/>
        <color theme="1"/>
        <rFont val="Calibri"/>
        <family val="2"/>
      </rPr>
      <t xml:space="preserve">. 2 layers 5/8" USG fiberock brand panels(Fiberock aqua tough brand at all wet areas finished 3-32" thick gypsum veneer plaster skim coat </t>
    </r>
  </si>
  <si>
    <r>
      <rPr>
        <sz val="12"/>
        <color theme="1"/>
        <rFont val="Calibri"/>
        <family val="2"/>
      </rPr>
      <t xml:space="preserve">2 layers 5/8' USG fiberock brand panels (Fiberock aqua tough brand at all wet areas) Glue second layer, finished with </t>
    </r>
    <r>
      <rPr>
        <sz val="12"/>
        <color rgb="FF92D050"/>
        <rFont val="Calibri"/>
        <family val="2"/>
      </rPr>
      <t>3-32" thick gypsum veneer plaster skim coat</t>
    </r>
    <r>
      <rPr>
        <sz val="12"/>
        <color theme="1"/>
        <rFont val="Calibri"/>
        <family val="2"/>
      </rPr>
      <t xml:space="preserve">. </t>
    </r>
    <r>
      <rPr>
        <sz val="12"/>
        <color rgb="FFFFC000"/>
        <rFont val="Calibri"/>
        <family val="2"/>
      </rPr>
      <t>3 5/8" Stl studs 20 GA @16" O.C</t>
    </r>
    <r>
      <rPr>
        <sz val="12"/>
        <color theme="1"/>
        <rFont val="Calibri"/>
        <family val="2"/>
      </rPr>
      <t xml:space="preserve"> with</t>
    </r>
    <r>
      <rPr>
        <sz val="12"/>
        <color rgb="FF0070C0"/>
        <rFont val="Calibri"/>
        <family val="2"/>
      </rPr>
      <t xml:space="preserve"> Batt insulation</t>
    </r>
    <r>
      <rPr>
        <sz val="12"/>
        <color theme="1"/>
        <rFont val="Calibri"/>
        <family val="2"/>
      </rPr>
      <t xml:space="preserve">. 2 layers 5/8" USG fiberock brand panels(Fiberock aqua tough brand at all wet areas finished 3-32" thick gypsum veneer plaster skim coat </t>
    </r>
  </si>
  <si>
    <t xml:space="preserve">TYPE 3 Interior partition at chase </t>
  </si>
  <si>
    <t xml:space="preserve">TYPE 4 Pocket door partition </t>
  </si>
  <si>
    <r>
      <rPr>
        <sz val="12"/>
        <color rgb="FFFF0000"/>
        <rFont val="Calibri"/>
        <family val="2"/>
      </rPr>
      <t xml:space="preserve">2 layer 5/8" USG fiberock brand panels ( Fiberock aqua tough brand at all wet areas ) Glue second layer fill batt insulation, finished with 3/32" thick gypsum veneer plaster skim coat.  </t>
    </r>
    <r>
      <rPr>
        <b/>
        <sz val="12"/>
        <color rgb="FFFF0000"/>
        <rFont val="Calibri"/>
        <family val="2"/>
      </rPr>
      <t xml:space="preserve">20 Ga 2-1/2" mtl studs @ 16 O.C. </t>
    </r>
    <r>
      <rPr>
        <sz val="12"/>
        <color rgb="FFFF0000"/>
        <rFont val="Calibri"/>
        <family val="2"/>
      </rPr>
      <t>with batt insulation. Pipe chase space. 2 layers 5/8" USG fiberock brand panels (Fiberock aqua tough brand at all wet areas finished with 3/32" thick gypsum veneer plaster skim coat.</t>
    </r>
  </si>
  <si>
    <r>
      <rPr>
        <sz val="12"/>
        <color rgb="FFC00000"/>
        <rFont val="Calibri"/>
        <family val="2"/>
      </rPr>
      <t xml:space="preserve">2 Layers 5/8" USG fiberock brand panels </t>
    </r>
    <r>
      <rPr>
        <sz val="12"/>
        <color theme="1"/>
        <rFont val="Calibri"/>
        <family val="2"/>
      </rPr>
      <t>(Fiberock Aqua tough brand at all wet areas)</t>
    </r>
    <r>
      <rPr>
        <sz val="12"/>
        <color rgb="FFFFC000"/>
        <rFont val="Calibri"/>
        <family val="2"/>
      </rPr>
      <t xml:space="preserve"> </t>
    </r>
    <r>
      <rPr>
        <sz val="12"/>
        <color theme="1"/>
        <rFont val="Calibri"/>
        <family val="2"/>
      </rPr>
      <t xml:space="preserve">Glue second layer, Finished with </t>
    </r>
    <r>
      <rPr>
        <sz val="12"/>
        <color rgb="FF92D050"/>
        <rFont val="Calibri"/>
        <family val="2"/>
      </rPr>
      <t>3/32" thick gypsum veneer plaster skim coat.</t>
    </r>
    <r>
      <rPr>
        <b/>
        <sz val="12"/>
        <color theme="1"/>
        <rFont val="Calibri"/>
        <family val="2"/>
      </rPr>
      <t xml:space="preserve"> 1</t>
    </r>
    <r>
      <rPr>
        <sz val="12"/>
        <color theme="1"/>
        <rFont val="Calibri"/>
        <family val="2"/>
      </rPr>
      <t xml:space="preserve"> </t>
    </r>
    <r>
      <rPr>
        <b/>
        <sz val="12"/>
        <color theme="1"/>
        <rFont val="Calibri"/>
        <family val="2"/>
      </rPr>
      <t xml:space="preserve">5/8" 20 Ga stl studs @12 O.C.  </t>
    </r>
    <r>
      <rPr>
        <sz val="12"/>
        <color theme="1"/>
        <rFont val="Calibri"/>
        <family val="2"/>
      </rPr>
      <t>2 layer 5/8" USG fiberock brand panels (fiberock aqua tough brand at wet areas) finished with 3/32" thick gypsum veneer plaster skim coat.</t>
    </r>
  </si>
  <si>
    <t>TYPE 5 Existing wall skim coat</t>
  </si>
  <si>
    <t>TYPE 6 EXISTING WALL- Furring</t>
  </si>
  <si>
    <r>
      <rPr>
        <sz val="12"/>
        <color theme="1"/>
        <rFont val="Calibri"/>
        <family val="2"/>
      </rPr>
      <t>Apply</t>
    </r>
    <r>
      <rPr>
        <sz val="12"/>
        <color rgb="FF92D050"/>
        <rFont val="Calibri"/>
        <family val="2"/>
      </rPr>
      <t xml:space="preserve"> 3/32" Thick gypsum veneer skim coat</t>
    </r>
    <r>
      <rPr>
        <sz val="12"/>
        <color theme="1"/>
        <rFont val="Calibri"/>
        <family val="2"/>
      </rPr>
      <t>. Fill and smooth all imperfections</t>
    </r>
  </si>
  <si>
    <r>
      <rPr>
        <sz val="12"/>
        <color rgb="FFFFC000"/>
        <rFont val="Calibri"/>
        <family val="2"/>
      </rPr>
      <t xml:space="preserve">3 5/8" </t>
    </r>
    <r>
      <rPr>
        <b/>
        <sz val="12"/>
        <color rgb="FFFFC000"/>
        <rFont val="Calibri"/>
        <family val="2"/>
      </rPr>
      <t>20 Ga stl studs @ 16 O.C</t>
    </r>
    <r>
      <rPr>
        <b/>
        <sz val="12"/>
        <color theme="1"/>
        <rFont val="Calibri"/>
        <family val="2"/>
      </rPr>
      <t>.</t>
    </r>
    <r>
      <rPr>
        <b/>
        <sz val="12"/>
        <color rgb="FFC00000"/>
        <rFont val="Calibri"/>
        <family val="2"/>
      </rPr>
      <t xml:space="preserve"> </t>
    </r>
    <r>
      <rPr>
        <sz val="12"/>
        <color rgb="FFC00000"/>
        <rFont val="Calibri"/>
        <family val="2"/>
      </rPr>
      <t>2 layers  5/8" USG fiberock brand panels</t>
    </r>
    <r>
      <rPr>
        <sz val="12"/>
        <color theme="1"/>
        <rFont val="Calibri"/>
        <family val="2"/>
      </rPr>
      <t xml:space="preserve"> dimensions from exterior wall to be varified with architect. Fill with</t>
    </r>
    <r>
      <rPr>
        <sz val="12"/>
        <color rgb="FF0070C0"/>
        <rFont val="Calibri"/>
        <family val="2"/>
      </rPr>
      <t xml:space="preserve"> Batt insulation, </t>
    </r>
    <r>
      <rPr>
        <sz val="12"/>
        <color theme="1"/>
        <rFont val="Calibri"/>
        <family val="2"/>
      </rPr>
      <t xml:space="preserve">Finished with </t>
    </r>
    <r>
      <rPr>
        <sz val="12"/>
        <color rgb="FF92D050"/>
        <rFont val="Calibri"/>
        <family val="2"/>
      </rPr>
      <t>3/32" Thick Gypsum veneer plaster skim coat</t>
    </r>
  </si>
  <si>
    <t xml:space="preserve">TYPE 7 Interior Partition- 3 Hr rated </t>
  </si>
  <si>
    <r>
      <rPr>
        <sz val="12"/>
        <color theme="1"/>
        <rFont val="Calibri"/>
        <family val="2"/>
      </rPr>
      <t xml:space="preserve">3 layer 5/8" USG fiberock brand panels, glue third layer finished with </t>
    </r>
    <r>
      <rPr>
        <sz val="12"/>
        <color rgb="FF92D050"/>
        <rFont val="Calibri"/>
        <family val="2"/>
      </rPr>
      <t>3/32" thick gypsum veneer plaster skim coat</t>
    </r>
    <r>
      <rPr>
        <sz val="12"/>
        <color theme="1"/>
        <rFont val="Calibri"/>
        <family val="2"/>
      </rPr>
      <t>.</t>
    </r>
    <r>
      <rPr>
        <b/>
        <sz val="12"/>
        <color theme="1"/>
        <rFont val="Calibri"/>
        <family val="2"/>
      </rPr>
      <t xml:space="preserve"> </t>
    </r>
    <r>
      <rPr>
        <b/>
        <sz val="12"/>
        <color rgb="FFFFC000"/>
        <rFont val="Calibri"/>
        <family val="2"/>
      </rPr>
      <t>3 5/8" stl studs 20 GA @16"O.C.</t>
    </r>
    <r>
      <rPr>
        <sz val="12"/>
        <color rgb="FF00B0F0"/>
        <rFont val="Calibri"/>
        <family val="2"/>
      </rPr>
      <t xml:space="preserve"> </t>
    </r>
    <r>
      <rPr>
        <sz val="12"/>
        <color rgb="FF002060"/>
        <rFont val="Calibri"/>
        <family val="2"/>
      </rPr>
      <t xml:space="preserve">Batt insulation Type SAFB. </t>
    </r>
    <r>
      <rPr>
        <sz val="12"/>
        <color theme="1"/>
        <rFont val="Calibri"/>
        <family val="2"/>
      </rPr>
      <t>3 layer 5/8" USG fiberock brand panels, glue third layer finished with 3-32" thick gypsum veneer plaster skim coat</t>
    </r>
  </si>
  <si>
    <t>FLOORING (Assumed)</t>
  </si>
  <si>
    <t>CEILING (Assumed)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</si>
</sst>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 numFmtId="165" formatCode="_-[$$-409]* #,##0.00_ ;_-[$$-409]* \-#,##0.00\ ;_-[$$-409]* &quot;-&quot;??_ ;_-@_ "/>
    <numFmt numFmtId="166" formatCode="_(&quot;$&quot;* #,##0.0_);_(&quot;$&quot;* \(#,##0.0\);_(&quot;$&quot;* &quot;-&quot;??_);_(@_)"/>
    <numFmt numFmtId="167" formatCode="&quot;$&quot;#,##0"/>
    <numFmt numFmtId="168" formatCode="dd\-mmm\-yy_)"/>
    <numFmt numFmtId="169" formatCode="_(&quot;$&quot;* #,##0.0_);_(&quot;$&quot;* \(#,##0.0\);_(&quot;$&quot;* &quot;-&quot;?_);_(@_)"/>
  </numFmts>
  <fonts count="26" x14ac:knownFonts="1">
    <font>
      <sz val="12"/>
      <color rgb="FF000000"/>
      <name val="Calibri"/>
      <scheme val="minor"/>
    </font>
    <font>
      <sz val="12"/>
      <color theme="1"/>
      <name val="Calibri"/>
      <family val="2"/>
    </font>
    <font>
      <sz val="12"/>
      <color rgb="FF000000"/>
      <name val="Calibri"/>
      <family val="2"/>
    </font>
    <font>
      <sz val="12"/>
      <color rgb="FFFFFFFF"/>
      <name val="Calibri"/>
      <family val="2"/>
    </font>
    <font>
      <b/>
      <sz val="12"/>
      <color theme="1"/>
      <name val="Calibri"/>
      <family val="2"/>
    </font>
    <font>
      <b/>
      <u/>
      <sz val="12"/>
      <color theme="1"/>
      <name val="Calibri"/>
      <family val="2"/>
    </font>
    <font>
      <sz val="12"/>
      <name val="Calibri"/>
      <family val="2"/>
    </font>
    <font>
      <b/>
      <sz val="18"/>
      <color theme="1"/>
      <name val="Calibri"/>
      <family val="2"/>
    </font>
    <font>
      <b/>
      <sz val="12"/>
      <color theme="1"/>
      <name val="Verdana"/>
      <family val="2"/>
    </font>
    <font>
      <u/>
      <sz val="12"/>
      <color theme="1"/>
      <name val="Calibri"/>
      <family val="2"/>
    </font>
    <font>
      <u/>
      <sz val="12"/>
      <color theme="1"/>
      <name val="Calibri"/>
      <family val="2"/>
    </font>
    <font>
      <sz val="12"/>
      <color rgb="FF00B050"/>
      <name val="Calibri"/>
      <family val="2"/>
    </font>
    <font>
      <u/>
      <sz val="12"/>
      <color theme="1"/>
      <name val="Calibri"/>
      <family val="2"/>
    </font>
    <font>
      <u/>
      <sz val="12"/>
      <color theme="1"/>
      <name val="Calibri"/>
      <family val="2"/>
    </font>
    <font>
      <b/>
      <sz val="12"/>
      <color rgb="FFFF0000"/>
      <name val="Calibri"/>
      <family val="2"/>
    </font>
    <font>
      <sz val="12"/>
      <color rgb="FFFF0000"/>
      <name val="Calibri"/>
      <family val="2"/>
    </font>
    <font>
      <sz val="12"/>
      <color rgb="FFC00000"/>
      <name val="Calibri"/>
      <family val="2"/>
    </font>
    <font>
      <sz val="12"/>
      <color rgb="FF92D050"/>
      <name val="Calibri"/>
      <family val="2"/>
    </font>
    <font>
      <b/>
      <sz val="12"/>
      <color rgb="FFFFC000"/>
      <name val="Calibri"/>
      <family val="2"/>
    </font>
    <font>
      <sz val="12"/>
      <color rgb="FF0070C0"/>
      <name val="Calibri"/>
      <family val="2"/>
    </font>
    <font>
      <sz val="12"/>
      <color rgb="FFFFC000"/>
      <name val="Calibri"/>
      <family val="2"/>
    </font>
    <font>
      <b/>
      <sz val="12"/>
      <color rgb="FFC00000"/>
      <name val="Calibri"/>
      <family val="2"/>
    </font>
    <font>
      <sz val="12"/>
      <color rgb="FF00B0F0"/>
      <name val="Calibri"/>
      <family val="2"/>
    </font>
    <font>
      <sz val="12"/>
      <color rgb="FF002060"/>
      <name val="Calibri"/>
      <family val="2"/>
    </font>
    <font>
      <b/>
      <sz val="14"/>
      <color theme="0"/>
      <name val="Calibri"/>
      <family val="2"/>
      <scheme val="minor"/>
    </font>
    <font>
      <b/>
      <sz val="12"/>
      <color theme="1"/>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FFFF00"/>
        <bgColor rgb="FFFFFF00"/>
      </patternFill>
    </fill>
    <fill>
      <patternFill patternType="solid">
        <fgColor rgb="FF7F7F7F"/>
        <bgColor rgb="FF7F7F7F"/>
      </patternFill>
    </fill>
    <fill>
      <gradientFill degree="45">
        <stop position="0">
          <color theme="1" tint="0.1490218817712943"/>
        </stop>
        <stop position="1">
          <color rgb="FFB9282E"/>
        </stop>
      </gradientFill>
    </fill>
    <fill>
      <gradientFill degree="45">
        <stop position="0">
          <color theme="0"/>
        </stop>
        <stop position="1">
          <color rgb="FFB3B4B6"/>
        </stop>
      </gradientFill>
    </fill>
  </fills>
  <borders count="5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0" fontId="24" fillId="6" borderId="52" applyBorder="0">
      <alignment horizontal="center" vertical="center" wrapText="1"/>
    </xf>
    <xf numFmtId="165" fontId="25" fillId="7" borderId="53" applyBorder="0">
      <alignment horizontal="center" vertical="center"/>
    </xf>
  </cellStyleXfs>
  <cellXfs count="188">
    <xf numFmtId="0" fontId="0" fillId="0" borderId="0" xfId="0"/>
    <xf numFmtId="0" fontId="1" fillId="0" borderId="0" xfId="0" applyFont="1" applyAlignment="1">
      <alignment vertical="top"/>
    </xf>
    <xf numFmtId="0" fontId="2" fillId="2" borderId="1" xfId="0" applyFont="1" applyFill="1" applyBorder="1"/>
    <xf numFmtId="0" fontId="2" fillId="2" borderId="2" xfId="0" applyFont="1" applyFill="1" applyBorder="1" applyAlignment="1">
      <alignment horizontal="center" vertical="center"/>
    </xf>
    <xf numFmtId="0" fontId="2" fillId="2" borderId="2" xfId="0" applyFont="1" applyFill="1" applyBorder="1" applyAlignment="1">
      <alignment horizontal="center"/>
    </xf>
    <xf numFmtId="0" fontId="2" fillId="2" borderId="2" xfId="0" applyFont="1" applyFill="1" applyBorder="1"/>
    <xf numFmtId="1" fontId="2" fillId="2" borderId="2" xfId="0" applyNumberFormat="1" applyFont="1" applyFill="1" applyBorder="1"/>
    <xf numFmtId="44" fontId="2" fillId="2" borderId="2" xfId="0" applyNumberFormat="1" applyFont="1" applyFill="1" applyBorder="1"/>
    <xf numFmtId="164" fontId="2" fillId="2" borderId="3" xfId="0" applyNumberFormat="1" applyFont="1" applyFill="1" applyBorder="1"/>
    <xf numFmtId="0" fontId="2" fillId="0" borderId="0" xfId="0" applyFont="1"/>
    <xf numFmtId="0" fontId="2" fillId="2" borderId="4" xfId="0" applyFont="1" applyFill="1" applyBorder="1"/>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xf numFmtId="1" fontId="2" fillId="2" borderId="5" xfId="0" applyNumberFormat="1" applyFont="1" applyFill="1" applyBorder="1"/>
    <xf numFmtId="44" fontId="2" fillId="2" borderId="5" xfId="0" applyNumberFormat="1" applyFont="1" applyFill="1" applyBorder="1"/>
    <xf numFmtId="164" fontId="2" fillId="2" borderId="6" xfId="0" applyNumberFormat="1" applyFont="1" applyFill="1" applyBorder="1"/>
    <xf numFmtId="0" fontId="4" fillId="3" borderId="5" xfId="0" applyFont="1" applyFill="1" applyBorder="1" applyAlignment="1">
      <alignment vertical="top"/>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vertical="center"/>
    </xf>
    <xf numFmtId="1" fontId="1" fillId="0" borderId="8" xfId="0" applyNumberFormat="1" applyFont="1" applyBorder="1" applyAlignment="1">
      <alignment horizontal="center" vertical="center"/>
    </xf>
    <xf numFmtId="9" fontId="1" fillId="0" borderId="8" xfId="0" applyNumberFormat="1" applyFont="1" applyBorder="1" applyAlignment="1">
      <alignment horizontal="center" vertical="center"/>
    </xf>
    <xf numFmtId="165" fontId="1" fillId="0" borderId="8" xfId="0" applyNumberFormat="1" applyFont="1" applyBorder="1" applyAlignment="1">
      <alignment horizontal="center" vertical="center"/>
    </xf>
    <xf numFmtId="165" fontId="1" fillId="0" borderId="8" xfId="0" applyNumberFormat="1" applyFont="1" applyBorder="1" applyAlignment="1">
      <alignment vertical="center"/>
    </xf>
    <xf numFmtId="165" fontId="1" fillId="0" borderId="10" xfId="0" applyNumberFormat="1" applyFont="1" applyBorder="1" applyAlignment="1">
      <alignment vertical="center"/>
    </xf>
    <xf numFmtId="0" fontId="4" fillId="3" borderId="8" xfId="0" applyFont="1" applyFill="1" applyBorder="1" applyAlignment="1">
      <alignment horizontal="right" vertical="center"/>
    </xf>
    <xf numFmtId="1" fontId="1" fillId="3" borderId="8" xfId="0" applyNumberFormat="1" applyFont="1" applyFill="1" applyBorder="1" applyAlignment="1">
      <alignment horizontal="center" vertical="center"/>
    </xf>
    <xf numFmtId="9"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65" fontId="1" fillId="3" borderId="8" xfId="0" applyNumberFormat="1" applyFont="1" applyFill="1" applyBorder="1" applyAlignment="1">
      <alignment horizontal="center" vertical="center"/>
    </xf>
    <xf numFmtId="165" fontId="1" fillId="3" borderId="8" xfId="0" applyNumberFormat="1" applyFont="1" applyFill="1" applyBorder="1" applyAlignment="1">
      <alignment vertical="center"/>
    </xf>
    <xf numFmtId="165" fontId="4" fillId="3" borderId="8" xfId="0" applyNumberFormat="1" applyFont="1" applyFill="1" applyBorder="1" applyAlignment="1">
      <alignment vertical="center"/>
    </xf>
    <xf numFmtId="165" fontId="4" fillId="3" borderId="10" xfId="0" applyNumberFormat="1" applyFont="1" applyFill="1" applyBorder="1" applyAlignment="1">
      <alignment vertical="center"/>
    </xf>
    <xf numFmtId="0" fontId="1" fillId="0" borderId="7" xfId="0" applyFont="1" applyBorder="1" applyAlignment="1">
      <alignment horizontal="center" vertical="center"/>
    </xf>
    <xf numFmtId="166" fontId="1" fillId="0" borderId="8" xfId="0" applyNumberFormat="1" applyFont="1" applyBorder="1" applyAlignment="1">
      <alignment horizontal="left" vertical="center"/>
    </xf>
    <xf numFmtId="166" fontId="1" fillId="0" borderId="8" xfId="0" applyNumberFormat="1" applyFont="1" applyBorder="1" applyAlignment="1">
      <alignment horizontal="center" vertical="center"/>
    </xf>
    <xf numFmtId="164" fontId="1" fillId="0" borderId="8" xfId="0" applyNumberFormat="1" applyFont="1" applyBorder="1" applyAlignment="1">
      <alignment horizontal="center" vertical="center"/>
    </xf>
    <xf numFmtId="0" fontId="1" fillId="0" borderId="8" xfId="0" applyFont="1" applyBorder="1" applyAlignment="1">
      <alignment vertical="center" wrapText="1"/>
    </xf>
    <xf numFmtId="0" fontId="5" fillId="0" borderId="8" xfId="0" applyFont="1" applyBorder="1" applyAlignment="1">
      <alignment vertical="center"/>
    </xf>
    <xf numFmtId="0" fontId="4" fillId="0" borderId="8" xfId="0" applyFont="1" applyBorder="1" applyAlignment="1">
      <alignment vertical="center"/>
    </xf>
    <xf numFmtId="0" fontId="1" fillId="4" borderId="8" xfId="0" applyFont="1" applyFill="1" applyBorder="1" applyAlignment="1">
      <alignment horizontal="center" vertical="center"/>
    </xf>
    <xf numFmtId="0" fontId="1" fillId="0" borderId="0" xfId="0" applyFont="1" applyAlignment="1">
      <alignment horizontal="center" vertical="center"/>
    </xf>
    <xf numFmtId="1" fontId="7"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44" fontId="1" fillId="0" borderId="0" xfId="0" applyNumberFormat="1" applyFont="1" applyAlignment="1">
      <alignment horizontal="center" vertical="center"/>
    </xf>
    <xf numFmtId="44" fontId="1" fillId="0" borderId="0" xfId="0" applyNumberFormat="1" applyFont="1" applyAlignment="1">
      <alignment vertical="top" wrapText="1"/>
    </xf>
    <xf numFmtId="2" fontId="1" fillId="0" borderId="0" xfId="0" applyNumberFormat="1" applyFont="1" applyAlignment="1">
      <alignment vertical="top" wrapText="1"/>
    </xf>
    <xf numFmtId="1" fontId="4" fillId="0" borderId="0" xfId="0" applyNumberFormat="1" applyFont="1" applyAlignment="1">
      <alignment horizontal="center" vertical="center" wrapText="1"/>
    </xf>
    <xf numFmtId="0" fontId="1" fillId="0" borderId="0" xfId="0" applyFont="1" applyAlignment="1">
      <alignment horizontal="center" vertical="top"/>
    </xf>
    <xf numFmtId="2" fontId="8" fillId="0" borderId="0" xfId="0" applyNumberFormat="1" applyFont="1" applyAlignment="1">
      <alignment horizontal="left" vertical="top"/>
    </xf>
    <xf numFmtId="2" fontId="1" fillId="0" borderId="0" xfId="0" applyNumberFormat="1" applyFont="1" applyAlignment="1">
      <alignment horizontal="center" vertical="top"/>
    </xf>
    <xf numFmtId="2" fontId="1" fillId="0" borderId="0" xfId="0" applyNumberFormat="1" applyFont="1" applyAlignment="1">
      <alignment horizontal="left" vertical="top"/>
    </xf>
    <xf numFmtId="2" fontId="1" fillId="0" borderId="0" xfId="0" applyNumberFormat="1" applyFont="1" applyAlignment="1">
      <alignment vertical="top"/>
    </xf>
    <xf numFmtId="2" fontId="8" fillId="0" borderId="0" xfId="0" applyNumberFormat="1" applyFont="1" applyAlignment="1">
      <alignment horizontal="right" vertical="top"/>
    </xf>
    <xf numFmtId="167" fontId="1" fillId="0" borderId="0" xfId="0" applyNumberFormat="1" applyFont="1" applyAlignment="1">
      <alignment vertical="top"/>
    </xf>
    <xf numFmtId="2" fontId="1" fillId="0" borderId="0" xfId="0" applyNumberFormat="1" applyFont="1" applyAlignment="1">
      <alignment horizontal="center" vertical="top" wrapText="1"/>
    </xf>
    <xf numFmtId="167" fontId="4" fillId="0" borderId="0" xfId="0" applyNumberFormat="1" applyFont="1" applyAlignment="1">
      <alignment horizontal="center" vertical="top"/>
    </xf>
    <xf numFmtId="168" fontId="4" fillId="0" borderId="0" xfId="0" applyNumberFormat="1" applyFont="1" applyAlignment="1">
      <alignment horizontal="center" vertical="top"/>
    </xf>
    <xf numFmtId="0" fontId="4" fillId="5" borderId="34" xfId="0" applyFont="1" applyFill="1" applyBorder="1" applyAlignment="1">
      <alignment horizontal="center" vertical="top" wrapText="1"/>
    </xf>
    <xf numFmtId="0" fontId="4" fillId="5" borderId="35" xfId="0" applyFont="1" applyFill="1" applyBorder="1" applyAlignment="1">
      <alignment horizontal="center" vertical="top" wrapText="1"/>
    </xf>
    <xf numFmtId="2" fontId="4" fillId="5" borderId="34" xfId="0" applyNumberFormat="1" applyFont="1" applyFill="1" applyBorder="1" applyAlignment="1">
      <alignment horizontal="center" vertical="top" wrapText="1"/>
    </xf>
    <xf numFmtId="0" fontId="3" fillId="0" borderId="0" xfId="0" applyFont="1" applyAlignment="1">
      <alignment horizontal="center" vertical="top" wrapText="1"/>
    </xf>
    <xf numFmtId="0" fontId="4" fillId="3" borderId="38" xfId="0" applyFont="1" applyFill="1" applyBorder="1" applyAlignment="1">
      <alignment horizontal="center" vertical="top"/>
    </xf>
    <xf numFmtId="0" fontId="4" fillId="3" borderId="39" xfId="0" applyFont="1" applyFill="1" applyBorder="1" applyAlignment="1">
      <alignment horizontal="center" vertical="top"/>
    </xf>
    <xf numFmtId="0" fontId="4" fillId="3" borderId="39" xfId="0" applyFont="1" applyFill="1" applyBorder="1" applyAlignment="1">
      <alignment vertical="top" wrapText="1"/>
    </xf>
    <xf numFmtId="0" fontId="1" fillId="3" borderId="39" xfId="0" applyFont="1" applyFill="1" applyBorder="1" applyAlignment="1">
      <alignment horizontal="center" vertical="top" wrapText="1"/>
    </xf>
    <xf numFmtId="0" fontId="1" fillId="3" borderId="39" xfId="0" applyFont="1" applyFill="1" applyBorder="1" applyAlignment="1">
      <alignment horizontal="center" vertical="top"/>
    </xf>
    <xf numFmtId="0" fontId="1" fillId="3" borderId="39" xfId="0" applyFont="1" applyFill="1" applyBorder="1" applyAlignment="1">
      <alignment vertical="top" wrapText="1"/>
    </xf>
    <xf numFmtId="167" fontId="1" fillId="3" borderId="35" xfId="0" applyNumberFormat="1" applyFont="1" applyFill="1" applyBorder="1" applyAlignment="1">
      <alignment vertical="top"/>
    </xf>
    <xf numFmtId="0" fontId="1" fillId="0" borderId="8" xfId="0" applyFont="1" applyBorder="1" applyAlignment="1">
      <alignment vertical="top"/>
    </xf>
    <xf numFmtId="0" fontId="1" fillId="0" borderId="40" xfId="0" applyFont="1" applyBorder="1" applyAlignment="1">
      <alignment horizontal="center" vertical="top"/>
    </xf>
    <xf numFmtId="0" fontId="1" fillId="0" borderId="41" xfId="0" applyFont="1" applyBorder="1" applyAlignment="1">
      <alignment horizontal="center" vertical="top"/>
    </xf>
    <xf numFmtId="0" fontId="1" fillId="0" borderId="41" xfId="0" applyFont="1" applyBorder="1" applyAlignment="1">
      <alignment horizontal="left" vertical="top" wrapText="1"/>
    </xf>
    <xf numFmtId="41" fontId="1" fillId="0" borderId="41" xfId="0" applyNumberFormat="1" applyFont="1" applyBorder="1" applyAlignment="1">
      <alignment horizontal="right" vertical="top"/>
    </xf>
    <xf numFmtId="9" fontId="1" fillId="0" borderId="41" xfId="0" applyNumberFormat="1" applyFont="1" applyBorder="1" applyAlignment="1">
      <alignment horizontal="right" vertical="top"/>
    </xf>
    <xf numFmtId="169" fontId="1" fillId="0" borderId="41" xfId="0" applyNumberFormat="1" applyFont="1" applyBorder="1" applyAlignment="1">
      <alignment horizontal="left" vertical="top"/>
    </xf>
    <xf numFmtId="42" fontId="1" fillId="0" borderId="42" xfId="0" applyNumberFormat="1" applyFont="1" applyBorder="1" applyAlignment="1">
      <alignment horizontal="left" vertical="top"/>
    </xf>
    <xf numFmtId="0" fontId="1" fillId="0" borderId="43" xfId="0" applyFont="1" applyBorder="1" applyAlignment="1">
      <alignment horizontal="center" vertical="top"/>
    </xf>
    <xf numFmtId="0" fontId="1" fillId="0" borderId="0" xfId="0" applyFont="1" applyAlignment="1">
      <alignment horizontal="left" vertical="top" wrapText="1"/>
    </xf>
    <xf numFmtId="41" fontId="1" fillId="0" borderId="0" xfId="0" applyNumberFormat="1" applyFont="1" applyAlignment="1">
      <alignment horizontal="right" vertical="top"/>
    </xf>
    <xf numFmtId="9" fontId="1" fillId="0" borderId="0" xfId="0" applyNumberFormat="1" applyFont="1" applyAlignment="1">
      <alignment horizontal="right" vertical="top"/>
    </xf>
    <xf numFmtId="169" fontId="1" fillId="0" borderId="0" xfId="0" applyNumberFormat="1" applyFont="1" applyAlignment="1">
      <alignment horizontal="left" vertical="top"/>
    </xf>
    <xf numFmtId="42" fontId="1" fillId="0" borderId="44" xfId="0" applyNumberFormat="1" applyFont="1" applyBorder="1" applyAlignment="1">
      <alignment horizontal="left" vertical="top"/>
    </xf>
    <xf numFmtId="0" fontId="1" fillId="0" borderId="0" xfId="0" quotePrefix="1" applyFont="1" applyAlignment="1">
      <alignment horizontal="left" vertical="top" wrapText="1"/>
    </xf>
    <xf numFmtId="0" fontId="1" fillId="0" borderId="0" xfId="0" applyFont="1" applyAlignment="1">
      <alignment horizontal="left" vertical="top"/>
    </xf>
    <xf numFmtId="0" fontId="9" fillId="0" borderId="8" xfId="0" applyFont="1" applyBorder="1" applyAlignment="1">
      <alignment vertical="top"/>
    </xf>
    <xf numFmtId="0" fontId="10" fillId="0" borderId="0" xfId="0" applyFont="1" applyAlignment="1">
      <alignment vertical="top"/>
    </xf>
    <xf numFmtId="0" fontId="1" fillId="0" borderId="45" xfId="0" applyFont="1" applyBorder="1" applyAlignment="1">
      <alignment horizontal="center" vertical="top"/>
    </xf>
    <xf numFmtId="0" fontId="1" fillId="0" borderId="46" xfId="0" applyFont="1" applyBorder="1" applyAlignment="1">
      <alignment horizontal="center" vertical="top"/>
    </xf>
    <xf numFmtId="0" fontId="1" fillId="0" borderId="46" xfId="0" applyFont="1" applyBorder="1" applyAlignment="1">
      <alignment horizontal="left" vertical="top" wrapText="1"/>
    </xf>
    <xf numFmtId="41" fontId="1" fillId="0" borderId="46" xfId="0" applyNumberFormat="1" applyFont="1" applyBorder="1" applyAlignment="1">
      <alignment horizontal="right" vertical="top"/>
    </xf>
    <xf numFmtId="9" fontId="1" fillId="0" borderId="46" xfId="0" applyNumberFormat="1" applyFont="1" applyBorder="1" applyAlignment="1">
      <alignment horizontal="right" vertical="top"/>
    </xf>
    <xf numFmtId="169" fontId="1" fillId="0" borderId="46" xfId="0" applyNumberFormat="1" applyFont="1" applyBorder="1" applyAlignment="1">
      <alignment horizontal="left" vertical="top"/>
    </xf>
    <xf numFmtId="42" fontId="1" fillId="0" borderId="47" xfId="0" applyNumberFormat="1" applyFont="1" applyBorder="1" applyAlignment="1">
      <alignment horizontal="left" vertical="top"/>
    </xf>
    <xf numFmtId="42" fontId="1" fillId="0" borderId="0" xfId="0" applyNumberFormat="1" applyFont="1" applyAlignment="1">
      <alignment horizontal="left" vertical="top"/>
    </xf>
    <xf numFmtId="0" fontId="4" fillId="0" borderId="48" xfId="0" applyFont="1" applyBorder="1" applyAlignment="1">
      <alignment horizontal="left" vertical="top"/>
    </xf>
    <xf numFmtId="0" fontId="4" fillId="0" borderId="49" xfId="0" applyFont="1" applyBorder="1" applyAlignment="1">
      <alignment horizontal="left" vertical="top"/>
    </xf>
    <xf numFmtId="0" fontId="1" fillId="0" borderId="49" xfId="0" applyFont="1" applyBorder="1" applyAlignment="1">
      <alignment vertical="top"/>
    </xf>
    <xf numFmtId="167" fontId="1" fillId="0" borderId="49" xfId="0" applyNumberFormat="1" applyFont="1" applyBorder="1" applyAlignment="1">
      <alignment horizontal="center" vertical="top"/>
    </xf>
    <xf numFmtId="0" fontId="1" fillId="0" borderId="49" xfId="0" applyFont="1" applyBorder="1" applyAlignment="1">
      <alignment horizontal="center" vertical="top"/>
    </xf>
    <xf numFmtId="0" fontId="1" fillId="0" borderId="49" xfId="0" applyFont="1" applyBorder="1" applyAlignment="1">
      <alignment horizontal="right" vertical="top" wrapText="1"/>
    </xf>
    <xf numFmtId="42" fontId="4" fillId="0" borderId="50" xfId="0" applyNumberFormat="1" applyFont="1" applyBorder="1" applyAlignment="1">
      <alignment vertical="top"/>
    </xf>
    <xf numFmtId="164" fontId="4" fillId="0" borderId="50" xfId="0" applyNumberFormat="1" applyFont="1" applyBorder="1" applyAlignment="1">
      <alignment vertical="top"/>
    </xf>
    <xf numFmtId="0" fontId="4" fillId="0" borderId="0" xfId="0" applyFont="1" applyAlignment="1">
      <alignment horizontal="left" vertical="top"/>
    </xf>
    <xf numFmtId="167" fontId="1" fillId="0" borderId="0" xfId="0" applyNumberFormat="1" applyFont="1" applyAlignment="1">
      <alignment horizontal="center" vertical="top"/>
    </xf>
    <xf numFmtId="0" fontId="1" fillId="0" borderId="0" xfId="0" applyFont="1" applyAlignment="1">
      <alignment horizontal="right" vertical="top" wrapText="1"/>
    </xf>
    <xf numFmtId="42" fontId="4" fillId="0" borderId="0" xfId="0" applyNumberFormat="1" applyFont="1" applyAlignment="1">
      <alignment vertical="top"/>
    </xf>
    <xf numFmtId="2" fontId="4" fillId="0" borderId="0" xfId="0" applyNumberFormat="1" applyFont="1" applyAlignment="1">
      <alignment vertical="top" wrapText="1"/>
    </xf>
    <xf numFmtId="0" fontId="4" fillId="0" borderId="0" xfId="0" applyFont="1" applyAlignment="1">
      <alignment vertical="top"/>
    </xf>
    <xf numFmtId="0" fontId="1" fillId="0" borderId="0" xfId="0" applyFont="1" applyAlignment="1">
      <alignment vertical="top" wrapText="1"/>
    </xf>
    <xf numFmtId="2" fontId="8" fillId="0" borderId="0" xfId="0" applyNumberFormat="1" applyFont="1" applyAlignment="1">
      <alignment horizontal="left" vertical="center"/>
    </xf>
    <xf numFmtId="2" fontId="1"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0" xfId="0" applyNumberFormat="1" applyFont="1" applyAlignment="1">
      <alignment vertical="center"/>
    </xf>
    <xf numFmtId="0" fontId="1" fillId="0" borderId="0" xfId="0" applyFont="1" applyAlignment="1">
      <alignment vertical="center"/>
    </xf>
    <xf numFmtId="2" fontId="8" fillId="0" borderId="0" xfId="0" applyNumberFormat="1" applyFont="1" applyAlignment="1">
      <alignment horizontal="right" vertical="center"/>
    </xf>
    <xf numFmtId="167" fontId="1" fillId="0" borderId="0" xfId="0" applyNumberFormat="1" applyFont="1" applyAlignment="1">
      <alignment vertical="center"/>
    </xf>
    <xf numFmtId="2" fontId="1" fillId="0" borderId="0" xfId="0" applyNumberFormat="1" applyFont="1" applyAlignment="1">
      <alignment vertical="center" wrapText="1"/>
    </xf>
    <xf numFmtId="167" fontId="4" fillId="0" borderId="0" xfId="0" applyNumberFormat="1" applyFont="1" applyAlignment="1">
      <alignment horizontal="center" vertical="center"/>
    </xf>
    <xf numFmtId="168" fontId="4" fillId="0" borderId="0" xfId="0" applyNumberFormat="1" applyFont="1" applyAlignment="1">
      <alignment horizontal="center" vertical="center"/>
    </xf>
    <xf numFmtId="2" fontId="4" fillId="5" borderId="34" xfId="0" applyNumberFormat="1" applyFont="1" applyFill="1" applyBorder="1" applyAlignment="1">
      <alignment horizontal="center" vertical="center" wrapText="1"/>
    </xf>
    <xf numFmtId="0" fontId="4" fillId="5" borderId="34" xfId="0" applyFont="1" applyFill="1" applyBorder="1" applyAlignment="1">
      <alignment horizontal="center" vertical="center" wrapText="1"/>
    </xf>
    <xf numFmtId="0" fontId="3" fillId="0" borderId="0" xfId="0" applyFont="1" applyAlignment="1">
      <alignment horizontal="center" vertical="center" wrapText="1"/>
    </xf>
    <xf numFmtId="0" fontId="4" fillId="3" borderId="22" xfId="0" applyFont="1" applyFill="1" applyBorder="1" applyAlignment="1">
      <alignment horizontal="center" vertical="top"/>
    </xf>
    <xf numFmtId="0" fontId="4" fillId="3" borderId="51" xfId="0" applyFont="1" applyFill="1" applyBorder="1" applyAlignment="1">
      <alignment vertical="center" wrapText="1"/>
    </xf>
    <xf numFmtId="0" fontId="1" fillId="3" borderId="51" xfId="0" applyFont="1" applyFill="1" applyBorder="1" applyAlignment="1">
      <alignment vertical="center" wrapText="1"/>
    </xf>
    <xf numFmtId="0" fontId="1" fillId="3" borderId="51" xfId="0" applyFont="1" applyFill="1" applyBorder="1" applyAlignment="1">
      <alignment horizontal="center" vertical="center" wrapText="1"/>
    </xf>
    <xf numFmtId="0" fontId="1" fillId="3" borderId="51" xfId="0" applyFont="1" applyFill="1" applyBorder="1" applyAlignment="1">
      <alignment horizontal="center" vertical="center"/>
    </xf>
    <xf numFmtId="167" fontId="1" fillId="3" borderId="51" xfId="0" applyNumberFormat="1" applyFont="1" applyFill="1" applyBorder="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169" fontId="11" fillId="0" borderId="0" xfId="0" applyNumberFormat="1" applyFont="1" applyAlignment="1">
      <alignment horizontal="left" vertical="center"/>
    </xf>
    <xf numFmtId="41" fontId="1" fillId="0" borderId="0" xfId="0" applyNumberFormat="1" applyFont="1" applyAlignment="1">
      <alignment horizontal="right" vertical="center"/>
    </xf>
    <xf numFmtId="42" fontId="1" fillId="0" borderId="0" xfId="0" applyNumberFormat="1" applyFont="1" applyAlignment="1">
      <alignment horizontal="left" vertical="center"/>
    </xf>
    <xf numFmtId="169" fontId="1" fillId="0" borderId="0" xfId="0" applyNumberFormat="1" applyFont="1" applyAlignment="1">
      <alignment horizontal="left" vertical="center"/>
    </xf>
    <xf numFmtId="0" fontId="1" fillId="0" borderId="0" xfId="0" quotePrefix="1" applyFont="1" applyAlignment="1">
      <alignment horizontal="left" vertical="center" wrapText="1"/>
    </xf>
    <xf numFmtId="0" fontId="12" fillId="0" borderId="0" xfId="0" applyFont="1" applyAlignment="1">
      <alignment vertical="center"/>
    </xf>
    <xf numFmtId="169" fontId="13" fillId="0" borderId="0" xfId="0" applyNumberFormat="1" applyFont="1" applyAlignment="1">
      <alignment horizontal="left" vertical="center"/>
    </xf>
    <xf numFmtId="0" fontId="4" fillId="0" borderId="0" xfId="0" applyFont="1" applyAlignment="1">
      <alignment horizontal="center" vertical="center"/>
    </xf>
    <xf numFmtId="0" fontId="4" fillId="0" borderId="48" xfId="0" applyFont="1" applyBorder="1" applyAlignment="1">
      <alignment horizontal="center" vertical="top"/>
    </xf>
    <xf numFmtId="0" fontId="1" fillId="0" borderId="49" xfId="0" applyFont="1" applyBorder="1" applyAlignment="1">
      <alignment vertical="center"/>
    </xf>
    <xf numFmtId="0" fontId="1" fillId="0" borderId="49" xfId="0" applyFont="1" applyBorder="1" applyAlignment="1">
      <alignment horizontal="right" vertical="center" wrapText="1"/>
    </xf>
    <xf numFmtId="167" fontId="1" fillId="0" borderId="49" xfId="0" applyNumberFormat="1" applyFont="1" applyBorder="1" applyAlignment="1">
      <alignment horizontal="center" vertical="center"/>
    </xf>
    <xf numFmtId="0" fontId="1" fillId="0" borderId="49" xfId="0" applyFont="1" applyBorder="1" applyAlignment="1">
      <alignment horizontal="center" vertical="center"/>
    </xf>
    <xf numFmtId="42" fontId="4" fillId="0" borderId="49" xfId="0" applyNumberFormat="1" applyFont="1" applyBorder="1" applyAlignment="1">
      <alignment vertical="center"/>
    </xf>
    <xf numFmtId="2" fontId="4" fillId="0" borderId="0" xfId="0" applyNumberFormat="1" applyFont="1" applyAlignment="1">
      <alignment vertical="center" wrapText="1"/>
    </xf>
    <xf numFmtId="0" fontId="4"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2" fontId="14" fillId="0" borderId="0" xfId="0" applyNumberFormat="1" applyFont="1" applyAlignment="1">
      <alignment vertical="center" wrapText="1"/>
    </xf>
    <xf numFmtId="2" fontId="15" fillId="0" borderId="0" xfId="0" applyNumberFormat="1" applyFont="1" applyAlignment="1">
      <alignment vertical="center" wrapText="1"/>
    </xf>
    <xf numFmtId="0" fontId="24" fillId="6" borderId="7" xfId="1" applyBorder="1">
      <alignment horizontal="center" vertical="center" wrapText="1"/>
    </xf>
    <xf numFmtId="0" fontId="24" fillId="6" borderId="8" xfId="1" applyBorder="1">
      <alignment horizontal="center" vertical="center" wrapText="1"/>
    </xf>
    <xf numFmtId="0" fontId="24" fillId="6" borderId="9" xfId="1" applyBorder="1">
      <alignment horizontal="center" vertical="center" wrapText="1"/>
    </xf>
    <xf numFmtId="0" fontId="24" fillId="6" borderId="10" xfId="1" applyBorder="1">
      <alignment horizontal="center" vertical="center" wrapText="1"/>
    </xf>
    <xf numFmtId="0" fontId="24" fillId="6" borderId="0" xfId="1" applyBorder="1">
      <alignment horizontal="center" vertical="center" wrapText="1"/>
    </xf>
    <xf numFmtId="0" fontId="24" fillId="6" borderId="11" xfId="1" applyBorder="1">
      <alignment horizontal="center" vertical="center" wrapText="1"/>
    </xf>
    <xf numFmtId="165" fontId="25" fillId="7" borderId="8" xfId="2" applyBorder="1" applyAlignment="1">
      <alignment horizontal="left" vertical="center"/>
    </xf>
    <xf numFmtId="165" fontId="25" fillId="7" borderId="12" xfId="2" applyBorder="1" applyAlignment="1">
      <alignment horizontal="left" vertical="center"/>
    </xf>
    <xf numFmtId="165" fontId="25" fillId="7" borderId="13" xfId="2" applyBorder="1" applyAlignment="1">
      <alignment horizontal="left" vertical="center"/>
    </xf>
    <xf numFmtId="165" fontId="25" fillId="7" borderId="14" xfId="2" applyBorder="1" applyAlignment="1">
      <alignment horizontal="left" vertical="center"/>
    </xf>
    <xf numFmtId="165" fontId="25" fillId="7" borderId="15" xfId="2" applyBorder="1" applyAlignment="1">
      <alignment horizontal="left" vertical="center"/>
    </xf>
    <xf numFmtId="165" fontId="25" fillId="7" borderId="16" xfId="2" applyBorder="1" applyAlignment="1">
      <alignment horizontal="left" vertical="center"/>
    </xf>
    <xf numFmtId="165" fontId="25" fillId="7" borderId="0" xfId="2" applyBorder="1" applyAlignment="1">
      <alignment horizontal="left" vertical="center"/>
    </xf>
    <xf numFmtId="165" fontId="25" fillId="7" borderId="17" xfId="2" applyBorder="1" applyAlignment="1">
      <alignment horizontal="left" vertical="center"/>
    </xf>
    <xf numFmtId="165" fontId="25" fillId="7" borderId="18" xfId="2" applyBorder="1" applyAlignment="1">
      <alignment horizontal="left" vertical="center"/>
    </xf>
    <xf numFmtId="165" fontId="25" fillId="7" borderId="19" xfId="2" applyBorder="1" applyAlignment="1">
      <alignment horizontal="left" vertical="center"/>
    </xf>
    <xf numFmtId="165" fontId="25" fillId="7" borderId="20" xfId="2" applyBorder="1" applyAlignment="1">
      <alignment horizontal="left" vertical="center"/>
    </xf>
    <xf numFmtId="165" fontId="25" fillId="7" borderId="7" xfId="2" applyBorder="1" applyAlignment="1">
      <alignment horizontal="left" vertical="center"/>
    </xf>
    <xf numFmtId="165" fontId="25" fillId="7" borderId="21" xfId="2" applyBorder="1" applyAlignment="1">
      <alignment horizontal="left" vertical="center"/>
    </xf>
    <xf numFmtId="165" fontId="25" fillId="7" borderId="22" xfId="2" applyBorder="1" applyAlignment="1">
      <alignment horizontal="left" vertical="center"/>
    </xf>
    <xf numFmtId="165" fontId="25" fillId="7" borderId="10" xfId="2" applyBorder="1" applyAlignment="1">
      <alignment horizontal="left" vertical="center"/>
    </xf>
    <xf numFmtId="165" fontId="25" fillId="7" borderId="23" xfId="2" applyBorder="1" applyAlignment="1">
      <alignment horizontal="left" vertical="center"/>
    </xf>
    <xf numFmtId="165" fontId="25" fillId="7" borderId="24" xfId="2" applyBorder="1" applyAlignment="1">
      <alignment horizontal="left" vertical="center"/>
    </xf>
    <xf numFmtId="165" fontId="25" fillId="7" borderId="25" xfId="2" applyBorder="1" applyAlignment="1">
      <alignment horizontal="left" vertical="center"/>
    </xf>
    <xf numFmtId="165" fontId="25" fillId="7" borderId="26" xfId="2" applyBorder="1" applyAlignment="1">
      <alignment horizontal="left" vertical="center"/>
    </xf>
    <xf numFmtId="165" fontId="25" fillId="7" borderId="27" xfId="2" applyBorder="1" applyAlignment="1">
      <alignment horizontal="left" vertical="center"/>
    </xf>
    <xf numFmtId="0" fontId="4" fillId="0" borderId="28" xfId="0" applyFont="1" applyBorder="1" applyAlignment="1">
      <alignment horizontal="left" vertical="center" wrapText="1"/>
    </xf>
    <xf numFmtId="0" fontId="6" fillId="0" borderId="29" xfId="0" applyFont="1" applyBorder="1"/>
    <xf numFmtId="0" fontId="6" fillId="0" borderId="30" xfId="0" applyFont="1" applyBorder="1"/>
    <xf numFmtId="0" fontId="4" fillId="0" borderId="31" xfId="0" applyFont="1" applyBorder="1" applyAlignment="1">
      <alignment horizontal="left" vertical="center" wrapText="1"/>
    </xf>
    <xf numFmtId="0" fontId="6" fillId="0" borderId="32" xfId="0" applyFont="1" applyBorder="1"/>
    <xf numFmtId="0" fontId="6" fillId="0" borderId="33" xfId="0" applyFont="1" applyBorder="1"/>
    <xf numFmtId="0" fontId="1" fillId="0" borderId="36" xfId="0" applyFont="1" applyBorder="1" applyAlignment="1">
      <alignment horizontal="center" vertical="top"/>
    </xf>
    <xf numFmtId="0" fontId="6" fillId="0" borderId="37" xfId="0" applyFont="1" applyBorder="1"/>
  </cellXfs>
  <cellStyles count="3">
    <cellStyle name="Normal" xfId="0" builtinId="0"/>
    <cellStyle name="Red Black" xfId="1" xr:uid="{415D2181-0515-4B55-A1FC-47B474B30CCC}"/>
    <cellStyle name="White Grey" xfId="2" xr:uid="{80651E83-8CE1-48C3-9566-27C6FEAB0A9D}"/>
  </cellStyles>
  <dxfs count="0"/>
  <tableStyles count="0" defaultTableStyle="TableStyleMedium2" defaultPivotStyle="PivotStyleLight16"/>
  <colors>
    <mruColors>
      <color rgb="FFB92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190500</xdr:colOff>
      <xdr:row>1</xdr:row>
      <xdr:rowOff>161925</xdr:rowOff>
    </xdr:from>
    <xdr:ext cx="7915275" cy="6381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1393125" y="3465675"/>
          <a:ext cx="7905750" cy="628650"/>
        </a:xfrm>
        <a:prstGeom prst="rect">
          <a:avLst/>
        </a:prstGeom>
        <a:solidFill>
          <a:srgbClr val="DDEAF6"/>
        </a:solidFill>
        <a:ln>
          <a:noFill/>
        </a:ln>
        <a:effectLst>
          <a:outerShdw blurRad="107950" dist="12700" dir="5400000" algn="ctr">
            <a:srgbClr val="000000"/>
          </a:outerShdw>
        </a:effectLst>
      </xdr:spPr>
      <xdr:txBody>
        <a:bodyPr spcFirstLastPara="1" wrap="square" lIns="91425" tIns="45700" rIns="91425" bIns="45700" anchor="ctr" anchorCtr="0">
          <a:noAutofit/>
        </a:bodyPr>
        <a:lstStyle/>
        <a:p>
          <a:pPr marL="0" marR="0" lvl="0" indent="0" algn="l" rtl="0">
            <a:lnSpc>
              <a:spcPct val="100000"/>
            </a:lnSpc>
            <a:spcBef>
              <a:spcPts val="0"/>
            </a:spcBef>
            <a:spcAft>
              <a:spcPts val="0"/>
            </a:spcAft>
            <a:buClr>
              <a:srgbClr val="000000"/>
            </a:buClr>
            <a:buSzPts val="1600"/>
            <a:buFont typeface="Calibri"/>
            <a:buNone/>
          </a:pPr>
          <a:r>
            <a:rPr lang="en-US" sz="1600" b="1" i="0" u="none" strike="noStrike" cap="none">
              <a:solidFill>
                <a:srgbClr val="000000"/>
              </a:solidFill>
              <a:latin typeface="Calibri"/>
              <a:ea typeface="Calibri"/>
              <a:cs typeface="Calibri"/>
              <a:sym typeface="Calibri"/>
            </a:rPr>
            <a:t>PROJECT</a:t>
          </a:r>
          <a:r>
            <a:rPr lang="en-US" sz="1400" b="1" i="0" u="none" strike="noStrike" cap="none">
              <a:solidFill>
                <a:srgbClr val="000000"/>
              </a:solidFill>
              <a:latin typeface="Calibri"/>
              <a:ea typeface="Calibri"/>
              <a:cs typeface="Calibri"/>
              <a:sym typeface="Calibri"/>
            </a:rPr>
            <a:t>: 5 STORY MULTIPLE FAMILY BUILDING</a:t>
          </a:r>
          <a:endParaRPr sz="1400"/>
        </a:p>
      </xdr:txBody>
    </xdr:sp>
    <xdr:clientData fLocksWithSheet="0"/>
  </xdr:oneCellAnchor>
  <xdr:oneCellAnchor>
    <xdr:from>
      <xdr:col>3</xdr:col>
      <xdr:colOff>5181600</xdr:colOff>
      <xdr:row>2</xdr:row>
      <xdr:rowOff>0</xdr:rowOff>
    </xdr:from>
    <xdr:ext cx="7915275" cy="638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1393125" y="3465675"/>
          <a:ext cx="7905750" cy="628650"/>
        </a:xfrm>
        <a:prstGeom prst="rect">
          <a:avLst/>
        </a:prstGeom>
        <a:solidFill>
          <a:srgbClr val="DDEAF6"/>
        </a:solidFill>
        <a:ln>
          <a:noFill/>
        </a:ln>
        <a:effectLst>
          <a:outerShdw blurRad="107950" dist="12700" dir="5400000" algn="ctr">
            <a:srgbClr val="000000"/>
          </a:outerShdw>
        </a:effectLst>
      </xdr:spPr>
      <xdr:txBody>
        <a:bodyPr spcFirstLastPara="1" wrap="square" lIns="91425" tIns="45700" rIns="91425" bIns="45700" anchor="ctr" anchorCtr="0">
          <a:noAutofit/>
        </a:bodyPr>
        <a:lstStyle/>
        <a:p>
          <a:pPr marL="0" marR="0" lvl="0" indent="0" algn="l" rtl="0">
            <a:lnSpc>
              <a:spcPct val="100000"/>
            </a:lnSpc>
            <a:spcBef>
              <a:spcPts val="0"/>
            </a:spcBef>
            <a:spcAft>
              <a:spcPts val="0"/>
            </a:spcAft>
            <a:buSzPts val="1100"/>
            <a:buFont typeface="Calibri"/>
            <a:buNone/>
          </a:pPr>
          <a:r>
            <a:rPr lang="en-US" sz="1100" b="1">
              <a:latin typeface="Calibri"/>
              <a:ea typeface="Calibri"/>
              <a:cs typeface="Calibri"/>
              <a:sym typeface="Calibri"/>
            </a:rPr>
            <a:t>ADDRESS:</a:t>
          </a:r>
          <a:r>
            <a:rPr lang="en-US" sz="1100" b="1" i="0">
              <a:latin typeface="Calibri"/>
              <a:ea typeface="Calibri"/>
              <a:cs typeface="Calibri"/>
              <a:sym typeface="Calibri"/>
            </a:rPr>
            <a:t>  </a:t>
          </a:r>
          <a:r>
            <a:rPr lang="en-US" sz="1400" b="1" i="0" u="none" strike="noStrike" cap="none">
              <a:solidFill>
                <a:srgbClr val="000000"/>
              </a:solidFill>
              <a:latin typeface="Calibri"/>
              <a:ea typeface="Calibri"/>
              <a:cs typeface="Calibri"/>
              <a:sym typeface="Calibri"/>
            </a:rPr>
            <a:t>356-370 BAYVIEW AVENUE INWOOD, NY</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9282E"/>
    <pageSetUpPr fitToPage="1"/>
  </sheetPr>
  <dimension ref="A1:AK1000"/>
  <sheetViews>
    <sheetView tabSelected="1" zoomScale="70" zoomScaleNormal="70" workbookViewId="0">
      <pane ySplit="7" topLeftCell="A260" activePane="bottomLeft" state="frozen"/>
      <selection pane="bottomLeft" activeCell="C294" sqref="C294"/>
    </sheetView>
  </sheetViews>
  <sheetFormatPr defaultColWidth="11.19921875" defaultRowHeight="15" customHeight="1" x14ac:dyDescent="0.3"/>
  <cols>
    <col min="1" max="1" width="6.09765625" customWidth="1"/>
    <col min="2" max="2" width="17.8984375" customWidth="1"/>
    <col min="3" max="3" width="16.8984375" customWidth="1"/>
    <col min="4" max="4" width="79.8984375" customWidth="1"/>
    <col min="5" max="5" width="10.69921875" customWidth="1"/>
    <col min="6" max="6" width="6.3984375" customWidth="1"/>
    <col min="7" max="7" width="12.09765625" customWidth="1"/>
    <col min="8" max="8" width="8.59765625" customWidth="1"/>
    <col min="9" max="12" width="10.8984375" customWidth="1"/>
    <col min="13" max="13" width="12.59765625" customWidth="1"/>
    <col min="14" max="15" width="12.09765625" customWidth="1"/>
    <col min="16" max="16" width="15.3984375" customWidth="1"/>
    <col min="17" max="17" width="27" customWidth="1"/>
    <col min="18" max="18" width="11.3984375" customWidth="1"/>
    <col min="19" max="25" width="9.8984375" customWidth="1"/>
    <col min="26" max="26" width="10.3984375" customWidth="1"/>
    <col min="27" max="37" width="9.59765625" customWidth="1"/>
  </cols>
  <sheetData>
    <row r="1" spans="1:37" ht="15.75" customHeight="1" x14ac:dyDescent="0.3">
      <c r="A1" s="2"/>
      <c r="B1" s="3"/>
      <c r="C1" s="4"/>
      <c r="D1" s="5"/>
      <c r="E1" s="5"/>
      <c r="F1" s="5"/>
      <c r="G1" s="6"/>
      <c r="H1" s="5"/>
      <c r="I1" s="7"/>
      <c r="J1" s="7"/>
      <c r="K1" s="7"/>
      <c r="L1" s="7"/>
      <c r="M1" s="7"/>
      <c r="N1" s="7"/>
      <c r="O1" s="7"/>
      <c r="P1" s="7"/>
      <c r="Q1" s="8"/>
      <c r="R1" s="9"/>
      <c r="S1" s="9"/>
      <c r="T1" s="9"/>
      <c r="U1" s="1"/>
      <c r="V1" s="1"/>
      <c r="W1" s="1"/>
      <c r="X1" s="1"/>
      <c r="Y1" s="1"/>
      <c r="Z1" s="1"/>
      <c r="AA1" s="1"/>
      <c r="AB1" s="1"/>
      <c r="AC1" s="1"/>
      <c r="AD1" s="1"/>
      <c r="AE1" s="1"/>
      <c r="AF1" s="1"/>
      <c r="AG1" s="1"/>
      <c r="AH1" s="1"/>
      <c r="AI1" s="1"/>
      <c r="AJ1" s="1"/>
      <c r="AK1" s="1"/>
    </row>
    <row r="2" spans="1:37" ht="15.75" customHeight="1" x14ac:dyDescent="0.3">
      <c r="A2" s="2"/>
      <c r="B2" s="3"/>
      <c r="C2" s="4"/>
      <c r="D2" s="5"/>
      <c r="E2" s="5"/>
      <c r="F2" s="5"/>
      <c r="G2" s="6"/>
      <c r="H2" s="5"/>
      <c r="I2" s="7"/>
      <c r="J2" s="7"/>
      <c r="K2" s="7"/>
      <c r="L2" s="7"/>
      <c r="M2" s="7"/>
      <c r="N2" s="7"/>
      <c r="O2" s="7"/>
      <c r="P2" s="7"/>
      <c r="Q2" s="8"/>
      <c r="R2" s="9"/>
      <c r="S2" s="9"/>
      <c r="T2" s="9"/>
      <c r="U2" s="1"/>
      <c r="V2" s="1"/>
      <c r="W2" s="1"/>
      <c r="X2" s="1"/>
      <c r="Y2" s="1"/>
      <c r="Z2" s="1"/>
      <c r="AA2" s="1"/>
      <c r="AB2" s="1"/>
      <c r="AC2" s="1"/>
      <c r="AD2" s="1"/>
      <c r="AE2" s="1"/>
      <c r="AF2" s="1"/>
      <c r="AG2" s="1"/>
      <c r="AH2" s="1"/>
      <c r="AI2" s="1"/>
      <c r="AJ2" s="1"/>
      <c r="AK2" s="1"/>
    </row>
    <row r="3" spans="1:37" ht="15.75" customHeight="1" x14ac:dyDescent="0.3">
      <c r="A3" s="10"/>
      <c r="B3" s="11"/>
      <c r="C3" s="12"/>
      <c r="D3" s="13"/>
      <c r="E3" s="13"/>
      <c r="F3" s="13"/>
      <c r="G3" s="14"/>
      <c r="H3" s="13"/>
      <c r="I3" s="15"/>
      <c r="J3" s="15"/>
      <c r="K3" s="15"/>
      <c r="L3" s="15"/>
      <c r="M3" s="15"/>
      <c r="N3" s="15"/>
      <c r="O3" s="15"/>
      <c r="P3" s="15"/>
      <c r="Q3" s="16"/>
      <c r="R3" s="9"/>
      <c r="S3" s="9"/>
      <c r="T3" s="9"/>
      <c r="U3" s="1"/>
      <c r="V3" s="1"/>
      <c r="W3" s="1"/>
      <c r="X3" s="1"/>
      <c r="Y3" s="1"/>
      <c r="Z3" s="1"/>
      <c r="AA3" s="1"/>
      <c r="AB3" s="1"/>
      <c r="AC3" s="1"/>
      <c r="AD3" s="1"/>
      <c r="AE3" s="1"/>
      <c r="AF3" s="1"/>
      <c r="AG3" s="1"/>
      <c r="AH3" s="1"/>
      <c r="AI3" s="1"/>
      <c r="AJ3" s="1"/>
      <c r="AK3" s="1"/>
    </row>
    <row r="4" spans="1:37" ht="15.75" customHeight="1" x14ac:dyDescent="0.3">
      <c r="A4" s="10"/>
      <c r="B4" s="11"/>
      <c r="C4" s="12"/>
      <c r="D4" s="13"/>
      <c r="E4" s="13"/>
      <c r="F4" s="13"/>
      <c r="G4" s="14"/>
      <c r="H4" s="13"/>
      <c r="I4" s="15"/>
      <c r="J4" s="15"/>
      <c r="K4" s="15"/>
      <c r="L4" s="15"/>
      <c r="M4" s="15"/>
      <c r="N4" s="15"/>
      <c r="O4" s="15"/>
      <c r="P4" s="15"/>
      <c r="Q4" s="16"/>
      <c r="R4" s="9"/>
      <c r="S4" s="9"/>
      <c r="T4" s="9"/>
      <c r="U4" s="1"/>
      <c r="V4" s="1"/>
      <c r="W4" s="1"/>
      <c r="X4" s="1"/>
      <c r="Y4" s="1"/>
      <c r="Z4" s="1"/>
      <c r="AA4" s="1"/>
      <c r="AB4" s="1"/>
      <c r="AC4" s="1"/>
      <c r="AD4" s="1"/>
      <c r="AE4" s="1"/>
      <c r="AF4" s="1"/>
      <c r="AG4" s="1"/>
      <c r="AH4" s="1"/>
      <c r="AI4" s="1"/>
      <c r="AJ4" s="1"/>
      <c r="AK4" s="1"/>
    </row>
    <row r="5" spans="1:37" ht="15.75" customHeight="1" x14ac:dyDescent="0.3">
      <c r="A5" s="10"/>
      <c r="B5" s="11"/>
      <c r="C5" s="12"/>
      <c r="D5" s="13"/>
      <c r="E5" s="13"/>
      <c r="F5" s="13"/>
      <c r="G5" s="14"/>
      <c r="H5" s="13"/>
      <c r="I5" s="15"/>
      <c r="J5" s="15"/>
      <c r="K5" s="15"/>
      <c r="L5" s="15"/>
      <c r="M5" s="15"/>
      <c r="N5" s="15"/>
      <c r="O5" s="15"/>
      <c r="P5" s="15"/>
      <c r="Q5" s="16"/>
      <c r="R5" s="9"/>
      <c r="S5" s="9"/>
      <c r="T5" s="9"/>
      <c r="U5" s="1"/>
      <c r="V5" s="1"/>
      <c r="W5" s="1"/>
      <c r="X5" s="1"/>
      <c r="Y5" s="1"/>
      <c r="Z5" s="1"/>
      <c r="AA5" s="1"/>
      <c r="AB5" s="1"/>
      <c r="AC5" s="1"/>
      <c r="AD5" s="1"/>
      <c r="AE5" s="1"/>
      <c r="AF5" s="1"/>
      <c r="AG5" s="1"/>
      <c r="AH5" s="1"/>
      <c r="AI5" s="1"/>
      <c r="AJ5" s="1"/>
      <c r="AK5" s="1"/>
    </row>
    <row r="6" spans="1:37" ht="15.75" customHeight="1" x14ac:dyDescent="0.3">
      <c r="A6" s="10"/>
      <c r="B6" s="11"/>
      <c r="C6" s="12"/>
      <c r="D6" s="13"/>
      <c r="E6" s="13"/>
      <c r="F6" s="13"/>
      <c r="G6" s="14"/>
      <c r="H6" s="13"/>
      <c r="I6" s="15"/>
      <c r="J6" s="15"/>
      <c r="K6" s="15"/>
      <c r="L6" s="15"/>
      <c r="M6" s="15"/>
      <c r="N6" s="15"/>
      <c r="O6" s="15"/>
      <c r="P6" s="15"/>
      <c r="Q6" s="16"/>
      <c r="R6" s="9"/>
      <c r="S6" s="9"/>
      <c r="T6" s="9"/>
      <c r="U6" s="1"/>
      <c r="V6" s="1"/>
      <c r="W6" s="1"/>
      <c r="X6" s="1"/>
      <c r="Y6" s="1"/>
      <c r="Z6" s="1"/>
      <c r="AA6" s="1"/>
      <c r="AB6" s="1"/>
      <c r="AC6" s="1"/>
      <c r="AD6" s="1"/>
      <c r="AE6" s="1"/>
      <c r="AF6" s="1"/>
      <c r="AG6" s="1"/>
      <c r="AH6" s="1"/>
      <c r="AI6" s="1"/>
      <c r="AJ6" s="1"/>
      <c r="AK6" s="1"/>
    </row>
    <row r="7" spans="1:37" s="158" customFormat="1" ht="54" x14ac:dyDescent="0.3">
      <c r="A7" s="154" t="s">
        <v>0</v>
      </c>
      <c r="B7" s="155" t="s">
        <v>1</v>
      </c>
      <c r="C7" s="155" t="s">
        <v>2</v>
      </c>
      <c r="D7" s="155" t="s">
        <v>3</v>
      </c>
      <c r="E7" s="155" t="s">
        <v>4</v>
      </c>
      <c r="F7" s="155" t="s">
        <v>5</v>
      </c>
      <c r="G7" s="155" t="s">
        <v>6</v>
      </c>
      <c r="H7" s="155" t="s">
        <v>7</v>
      </c>
      <c r="I7" s="155" t="s">
        <v>8</v>
      </c>
      <c r="J7" s="156" t="s">
        <v>9</v>
      </c>
      <c r="K7" s="156" t="s">
        <v>10</v>
      </c>
      <c r="L7" s="156" t="s">
        <v>11</v>
      </c>
      <c r="M7" s="155" t="s">
        <v>12</v>
      </c>
      <c r="N7" s="156" t="s">
        <v>13</v>
      </c>
      <c r="O7" s="156" t="s">
        <v>14</v>
      </c>
      <c r="P7" s="155" t="s">
        <v>15</v>
      </c>
      <c r="Q7" s="157" t="s">
        <v>16</v>
      </c>
    </row>
    <row r="8" spans="1:37" s="158" customFormat="1" ht="18" x14ac:dyDescent="0.3">
      <c r="A8" s="154"/>
      <c r="B8" s="155"/>
      <c r="C8" s="155" t="s">
        <v>17</v>
      </c>
      <c r="D8" s="155" t="s">
        <v>18</v>
      </c>
      <c r="E8" s="155"/>
      <c r="F8" s="155"/>
      <c r="G8" s="155"/>
      <c r="H8" s="155"/>
      <c r="I8" s="155"/>
      <c r="J8" s="155"/>
      <c r="K8" s="155"/>
      <c r="L8" s="155"/>
      <c r="M8" s="155"/>
      <c r="N8" s="155"/>
      <c r="O8" s="155"/>
      <c r="P8" s="155"/>
      <c r="Q8" s="157"/>
    </row>
    <row r="9" spans="1:37" ht="15.6" x14ac:dyDescent="0.3">
      <c r="A9" s="18">
        <f t="shared" ref="A9:A102" si="0">IF(H9&lt;&gt;"",1+MAX($A$1:A8),"")</f>
        <v>1</v>
      </c>
      <c r="B9" s="19"/>
      <c r="C9" s="19"/>
      <c r="D9" s="20" t="s">
        <v>19</v>
      </c>
      <c r="E9" s="21">
        <v>1</v>
      </c>
      <c r="F9" s="22">
        <v>0</v>
      </c>
      <c r="G9" s="21">
        <f t="shared" ref="G9:G23" si="1">E9+(E9*F9)</f>
        <v>1</v>
      </c>
      <c r="H9" s="19" t="s">
        <v>20</v>
      </c>
      <c r="I9" s="23"/>
      <c r="J9" s="23"/>
      <c r="K9" s="23"/>
      <c r="L9" s="23"/>
      <c r="M9" s="23"/>
      <c r="N9" s="24">
        <f t="shared" ref="N9:N27" si="2">IF(H9&lt;&gt;"",I9+M9,"")</f>
        <v>0</v>
      </c>
      <c r="O9" s="24"/>
      <c r="P9" s="24">
        <f t="shared" ref="P9:P27" si="3">IF(H9&lt;&gt;"",N9*G9,"")</f>
        <v>0</v>
      </c>
      <c r="Q9" s="25"/>
      <c r="R9" s="1"/>
      <c r="S9" s="1"/>
      <c r="T9" s="1"/>
      <c r="U9" s="1"/>
      <c r="V9" s="1"/>
      <c r="W9" s="1"/>
      <c r="X9" s="1"/>
      <c r="Y9" s="1"/>
      <c r="Z9" s="1"/>
      <c r="AA9" s="1"/>
      <c r="AB9" s="1"/>
      <c r="AC9" s="1"/>
      <c r="AD9" s="1"/>
      <c r="AE9" s="1"/>
      <c r="AF9" s="1"/>
      <c r="AG9" s="1"/>
      <c r="AH9" s="1"/>
      <c r="AI9" s="1"/>
      <c r="AJ9" s="1"/>
      <c r="AK9" s="1"/>
    </row>
    <row r="10" spans="1:37" ht="15.6" x14ac:dyDescent="0.3">
      <c r="A10" s="18">
        <f t="shared" si="0"/>
        <v>2</v>
      </c>
      <c r="B10" s="19"/>
      <c r="C10" s="19"/>
      <c r="D10" s="20" t="s">
        <v>21</v>
      </c>
      <c r="E10" s="21">
        <v>1</v>
      </c>
      <c r="F10" s="22">
        <v>0</v>
      </c>
      <c r="G10" s="21">
        <f t="shared" si="1"/>
        <v>1</v>
      </c>
      <c r="H10" s="19" t="s">
        <v>20</v>
      </c>
      <c r="I10" s="23"/>
      <c r="J10" s="23"/>
      <c r="K10" s="23"/>
      <c r="L10" s="23"/>
      <c r="M10" s="23"/>
      <c r="N10" s="24">
        <f t="shared" si="2"/>
        <v>0</v>
      </c>
      <c r="O10" s="24"/>
      <c r="P10" s="24">
        <f t="shared" si="3"/>
        <v>0</v>
      </c>
      <c r="Q10" s="25"/>
      <c r="R10" s="1"/>
      <c r="S10" s="1"/>
      <c r="T10" s="1"/>
      <c r="U10" s="1"/>
      <c r="V10" s="1"/>
      <c r="W10" s="1"/>
      <c r="X10" s="1"/>
      <c r="Y10" s="1"/>
      <c r="Z10" s="1"/>
      <c r="AA10" s="1"/>
      <c r="AB10" s="1"/>
      <c r="AC10" s="1"/>
      <c r="AD10" s="1"/>
      <c r="AE10" s="1"/>
      <c r="AF10" s="1"/>
      <c r="AG10" s="1"/>
      <c r="AH10" s="1"/>
      <c r="AI10" s="1"/>
      <c r="AJ10" s="1"/>
      <c r="AK10" s="1"/>
    </row>
    <row r="11" spans="1:37" ht="15.6" x14ac:dyDescent="0.3">
      <c r="A11" s="18">
        <f t="shared" si="0"/>
        <v>3</v>
      </c>
      <c r="B11" s="19"/>
      <c r="C11" s="19"/>
      <c r="D11" s="20" t="s">
        <v>22</v>
      </c>
      <c r="E11" s="21">
        <v>1</v>
      </c>
      <c r="F11" s="22">
        <v>0</v>
      </c>
      <c r="G11" s="21">
        <f t="shared" si="1"/>
        <v>1</v>
      </c>
      <c r="H11" s="19" t="s">
        <v>20</v>
      </c>
      <c r="I11" s="23"/>
      <c r="J11" s="23"/>
      <c r="K11" s="23"/>
      <c r="L11" s="23"/>
      <c r="M11" s="23"/>
      <c r="N11" s="24">
        <f t="shared" si="2"/>
        <v>0</v>
      </c>
      <c r="O11" s="24"/>
      <c r="P11" s="24">
        <f t="shared" si="3"/>
        <v>0</v>
      </c>
      <c r="Q11" s="25"/>
      <c r="R11" s="1"/>
      <c r="S11" s="1"/>
      <c r="T11" s="1"/>
      <c r="U11" s="1"/>
      <c r="V11" s="1"/>
      <c r="W11" s="1"/>
      <c r="X11" s="1"/>
      <c r="Y11" s="1"/>
      <c r="Z11" s="1"/>
      <c r="AA11" s="1"/>
      <c r="AB11" s="1"/>
      <c r="AC11" s="1"/>
      <c r="AD11" s="1"/>
      <c r="AE11" s="1"/>
      <c r="AF11" s="1"/>
      <c r="AG11" s="1"/>
      <c r="AH11" s="1"/>
      <c r="AI11" s="1"/>
      <c r="AJ11" s="1"/>
      <c r="AK11" s="1"/>
    </row>
    <row r="12" spans="1:37" ht="15.6" x14ac:dyDescent="0.3">
      <c r="A12" s="18">
        <f t="shared" si="0"/>
        <v>4</v>
      </c>
      <c r="B12" s="19"/>
      <c r="C12" s="19"/>
      <c r="D12" s="20" t="s">
        <v>23</v>
      </c>
      <c r="E12" s="21">
        <v>1</v>
      </c>
      <c r="F12" s="22">
        <v>0</v>
      </c>
      <c r="G12" s="21">
        <f t="shared" si="1"/>
        <v>1</v>
      </c>
      <c r="H12" s="19" t="s">
        <v>20</v>
      </c>
      <c r="I12" s="23"/>
      <c r="J12" s="23"/>
      <c r="K12" s="23"/>
      <c r="L12" s="23"/>
      <c r="M12" s="23"/>
      <c r="N12" s="24">
        <f t="shared" si="2"/>
        <v>0</v>
      </c>
      <c r="O12" s="24"/>
      <c r="P12" s="24">
        <f t="shared" si="3"/>
        <v>0</v>
      </c>
      <c r="Q12" s="25"/>
      <c r="R12" s="1"/>
      <c r="S12" s="1"/>
      <c r="T12" s="1"/>
      <c r="U12" s="1"/>
      <c r="V12" s="1"/>
      <c r="W12" s="1"/>
      <c r="X12" s="1"/>
      <c r="Y12" s="1"/>
      <c r="Z12" s="1"/>
      <c r="AA12" s="1"/>
      <c r="AB12" s="1"/>
      <c r="AC12" s="1"/>
      <c r="AD12" s="1"/>
      <c r="AE12" s="1"/>
      <c r="AF12" s="1"/>
      <c r="AG12" s="1"/>
      <c r="AH12" s="1"/>
      <c r="AI12" s="1"/>
      <c r="AJ12" s="1"/>
      <c r="AK12" s="1"/>
    </row>
    <row r="13" spans="1:37" ht="15.6" x14ac:dyDescent="0.3">
      <c r="A13" s="18">
        <f t="shared" si="0"/>
        <v>5</v>
      </c>
      <c r="B13" s="19"/>
      <c r="C13" s="19"/>
      <c r="D13" s="20" t="s">
        <v>24</v>
      </c>
      <c r="E13" s="21">
        <v>1</v>
      </c>
      <c r="F13" s="22">
        <v>0</v>
      </c>
      <c r="G13" s="21">
        <f t="shared" si="1"/>
        <v>1</v>
      </c>
      <c r="H13" s="19" t="s">
        <v>20</v>
      </c>
      <c r="I13" s="23"/>
      <c r="J13" s="23"/>
      <c r="K13" s="23"/>
      <c r="L13" s="23"/>
      <c r="M13" s="23"/>
      <c r="N13" s="24">
        <f t="shared" si="2"/>
        <v>0</v>
      </c>
      <c r="O13" s="24"/>
      <c r="P13" s="24">
        <f t="shared" si="3"/>
        <v>0</v>
      </c>
      <c r="Q13" s="25"/>
      <c r="R13" s="1"/>
      <c r="S13" s="1"/>
      <c r="T13" s="1"/>
      <c r="U13" s="1"/>
      <c r="V13" s="1"/>
      <c r="W13" s="1"/>
      <c r="X13" s="1"/>
      <c r="Y13" s="1"/>
      <c r="Z13" s="1"/>
      <c r="AA13" s="1"/>
      <c r="AB13" s="1"/>
      <c r="AC13" s="1"/>
      <c r="AD13" s="1"/>
      <c r="AE13" s="1"/>
      <c r="AF13" s="1"/>
      <c r="AG13" s="1"/>
      <c r="AH13" s="1"/>
      <c r="AI13" s="1"/>
      <c r="AJ13" s="1"/>
      <c r="AK13" s="1"/>
    </row>
    <row r="14" spans="1:37" ht="15.6" x14ac:dyDescent="0.3">
      <c r="A14" s="18">
        <f t="shared" si="0"/>
        <v>6</v>
      </c>
      <c r="B14" s="19"/>
      <c r="C14" s="19"/>
      <c r="D14" s="20" t="s">
        <v>25</v>
      </c>
      <c r="E14" s="21">
        <v>1</v>
      </c>
      <c r="F14" s="22">
        <v>0</v>
      </c>
      <c r="G14" s="21">
        <f t="shared" si="1"/>
        <v>1</v>
      </c>
      <c r="H14" s="19" t="s">
        <v>20</v>
      </c>
      <c r="I14" s="23"/>
      <c r="J14" s="23"/>
      <c r="K14" s="23"/>
      <c r="L14" s="23"/>
      <c r="M14" s="23"/>
      <c r="N14" s="24">
        <f t="shared" si="2"/>
        <v>0</v>
      </c>
      <c r="O14" s="24"/>
      <c r="P14" s="24">
        <f t="shared" si="3"/>
        <v>0</v>
      </c>
      <c r="Q14" s="25"/>
      <c r="R14" s="1"/>
      <c r="S14" s="1"/>
      <c r="T14" s="1"/>
      <c r="U14" s="1"/>
      <c r="V14" s="1"/>
      <c r="W14" s="1"/>
      <c r="X14" s="1"/>
      <c r="Y14" s="1"/>
      <c r="Z14" s="1"/>
      <c r="AA14" s="1"/>
      <c r="AB14" s="1"/>
      <c r="AC14" s="1"/>
      <c r="AD14" s="1"/>
      <c r="AE14" s="1"/>
      <c r="AF14" s="1"/>
      <c r="AG14" s="1"/>
      <c r="AH14" s="1"/>
      <c r="AI14" s="1"/>
      <c r="AJ14" s="1"/>
      <c r="AK14" s="1"/>
    </row>
    <row r="15" spans="1:37" ht="15.6" x14ac:dyDescent="0.3">
      <c r="A15" s="18">
        <f t="shared" si="0"/>
        <v>7</v>
      </c>
      <c r="B15" s="19"/>
      <c r="C15" s="19"/>
      <c r="D15" s="20" t="s">
        <v>26</v>
      </c>
      <c r="E15" s="21">
        <v>1</v>
      </c>
      <c r="F15" s="22">
        <v>0</v>
      </c>
      <c r="G15" s="21">
        <f t="shared" si="1"/>
        <v>1</v>
      </c>
      <c r="H15" s="19" t="s">
        <v>20</v>
      </c>
      <c r="I15" s="23"/>
      <c r="J15" s="23"/>
      <c r="K15" s="23"/>
      <c r="L15" s="23"/>
      <c r="M15" s="23"/>
      <c r="N15" s="24">
        <f t="shared" si="2"/>
        <v>0</v>
      </c>
      <c r="O15" s="24"/>
      <c r="P15" s="24">
        <f t="shared" si="3"/>
        <v>0</v>
      </c>
      <c r="Q15" s="25"/>
      <c r="R15" s="1"/>
      <c r="S15" s="1"/>
      <c r="T15" s="1"/>
      <c r="U15" s="1"/>
      <c r="V15" s="1"/>
      <c r="W15" s="1"/>
      <c r="X15" s="1"/>
      <c r="Y15" s="1"/>
      <c r="Z15" s="1"/>
      <c r="AA15" s="1"/>
      <c r="AB15" s="1"/>
      <c r="AC15" s="1"/>
      <c r="AD15" s="1"/>
      <c r="AE15" s="1"/>
      <c r="AF15" s="1"/>
      <c r="AG15" s="1"/>
      <c r="AH15" s="1"/>
      <c r="AI15" s="1"/>
      <c r="AJ15" s="1"/>
      <c r="AK15" s="1"/>
    </row>
    <row r="16" spans="1:37" ht="15.6" x14ac:dyDescent="0.3">
      <c r="A16" s="18">
        <f t="shared" si="0"/>
        <v>8</v>
      </c>
      <c r="B16" s="19"/>
      <c r="C16" s="19"/>
      <c r="D16" s="20" t="s">
        <v>27</v>
      </c>
      <c r="E16" s="21">
        <v>1</v>
      </c>
      <c r="F16" s="22">
        <v>0</v>
      </c>
      <c r="G16" s="21">
        <f t="shared" si="1"/>
        <v>1</v>
      </c>
      <c r="H16" s="19" t="s">
        <v>20</v>
      </c>
      <c r="I16" s="23"/>
      <c r="J16" s="23"/>
      <c r="K16" s="23"/>
      <c r="L16" s="23"/>
      <c r="M16" s="23"/>
      <c r="N16" s="24">
        <f t="shared" si="2"/>
        <v>0</v>
      </c>
      <c r="O16" s="24"/>
      <c r="P16" s="24">
        <f t="shared" si="3"/>
        <v>0</v>
      </c>
      <c r="Q16" s="25"/>
      <c r="R16" s="1"/>
      <c r="S16" s="1"/>
      <c r="T16" s="1"/>
      <c r="U16" s="1"/>
      <c r="V16" s="1"/>
      <c r="W16" s="1"/>
      <c r="X16" s="1"/>
      <c r="Y16" s="1"/>
      <c r="Z16" s="1"/>
      <c r="AA16" s="1"/>
      <c r="AB16" s="1"/>
      <c r="AC16" s="1"/>
      <c r="AD16" s="1"/>
      <c r="AE16" s="1"/>
      <c r="AF16" s="1"/>
      <c r="AG16" s="1"/>
      <c r="AH16" s="1"/>
      <c r="AI16" s="1"/>
      <c r="AJ16" s="1"/>
      <c r="AK16" s="1"/>
    </row>
    <row r="17" spans="1:37" ht="15.6" x14ac:dyDescent="0.3">
      <c r="A17" s="18">
        <f t="shared" si="0"/>
        <v>9</v>
      </c>
      <c r="B17" s="19"/>
      <c r="C17" s="19"/>
      <c r="D17" s="20" t="s">
        <v>28</v>
      </c>
      <c r="E17" s="21">
        <v>1</v>
      </c>
      <c r="F17" s="22">
        <v>0</v>
      </c>
      <c r="G17" s="21">
        <f t="shared" si="1"/>
        <v>1</v>
      </c>
      <c r="H17" s="19" t="s">
        <v>20</v>
      </c>
      <c r="I17" s="23"/>
      <c r="J17" s="23"/>
      <c r="K17" s="23"/>
      <c r="L17" s="23"/>
      <c r="M17" s="23"/>
      <c r="N17" s="24">
        <f t="shared" si="2"/>
        <v>0</v>
      </c>
      <c r="O17" s="24"/>
      <c r="P17" s="24">
        <f t="shared" si="3"/>
        <v>0</v>
      </c>
      <c r="Q17" s="25"/>
      <c r="R17" s="17"/>
      <c r="S17" s="17"/>
      <c r="T17" s="17"/>
      <c r="U17" s="17"/>
      <c r="V17" s="17"/>
      <c r="W17" s="17"/>
      <c r="X17" s="17"/>
      <c r="Y17" s="17"/>
      <c r="Z17" s="17"/>
      <c r="AA17" s="17"/>
      <c r="AB17" s="17"/>
      <c r="AC17" s="17"/>
      <c r="AD17" s="17"/>
      <c r="AE17" s="17"/>
      <c r="AF17" s="17"/>
      <c r="AG17" s="17"/>
      <c r="AH17" s="17"/>
      <c r="AI17" s="17"/>
      <c r="AJ17" s="17"/>
      <c r="AK17" s="17"/>
    </row>
    <row r="18" spans="1:37" ht="15.6" x14ac:dyDescent="0.3">
      <c r="A18" s="18">
        <f t="shared" si="0"/>
        <v>10</v>
      </c>
      <c r="B18" s="19"/>
      <c r="C18" s="19"/>
      <c r="D18" s="20" t="s">
        <v>29</v>
      </c>
      <c r="E18" s="21">
        <v>1</v>
      </c>
      <c r="F18" s="22">
        <v>0</v>
      </c>
      <c r="G18" s="21">
        <f t="shared" si="1"/>
        <v>1</v>
      </c>
      <c r="H18" s="19" t="s">
        <v>20</v>
      </c>
      <c r="I18" s="23"/>
      <c r="J18" s="23"/>
      <c r="K18" s="23"/>
      <c r="L18" s="23"/>
      <c r="M18" s="23"/>
      <c r="N18" s="24">
        <f t="shared" si="2"/>
        <v>0</v>
      </c>
      <c r="O18" s="24"/>
      <c r="P18" s="24">
        <f t="shared" si="3"/>
        <v>0</v>
      </c>
      <c r="Q18" s="25"/>
      <c r="R18" s="17"/>
      <c r="S18" s="17"/>
      <c r="T18" s="17"/>
      <c r="U18" s="17"/>
      <c r="V18" s="17"/>
      <c r="W18" s="17"/>
      <c r="X18" s="17"/>
      <c r="Y18" s="17"/>
      <c r="Z18" s="17"/>
      <c r="AA18" s="17"/>
      <c r="AB18" s="17"/>
      <c r="AC18" s="17"/>
      <c r="AD18" s="17"/>
      <c r="AE18" s="17"/>
      <c r="AF18" s="17"/>
      <c r="AG18" s="17"/>
      <c r="AH18" s="17"/>
      <c r="AI18" s="17"/>
      <c r="AJ18" s="17"/>
      <c r="AK18" s="17"/>
    </row>
    <row r="19" spans="1:37" ht="15.6" x14ac:dyDescent="0.3">
      <c r="A19" s="18">
        <f t="shared" si="0"/>
        <v>11</v>
      </c>
      <c r="B19" s="19"/>
      <c r="C19" s="19"/>
      <c r="D19" s="20" t="s">
        <v>30</v>
      </c>
      <c r="E19" s="21">
        <v>1</v>
      </c>
      <c r="F19" s="22">
        <v>0</v>
      </c>
      <c r="G19" s="21">
        <f t="shared" si="1"/>
        <v>1</v>
      </c>
      <c r="H19" s="19" t="s">
        <v>20</v>
      </c>
      <c r="I19" s="23"/>
      <c r="J19" s="23"/>
      <c r="K19" s="23"/>
      <c r="L19" s="23"/>
      <c r="M19" s="23"/>
      <c r="N19" s="24">
        <f t="shared" si="2"/>
        <v>0</v>
      </c>
      <c r="O19" s="24"/>
      <c r="P19" s="24">
        <f t="shared" si="3"/>
        <v>0</v>
      </c>
      <c r="Q19" s="25"/>
      <c r="R19" s="17"/>
      <c r="S19" s="17"/>
      <c r="T19" s="17"/>
      <c r="U19" s="17"/>
      <c r="V19" s="17"/>
      <c r="W19" s="17"/>
      <c r="X19" s="17"/>
      <c r="Y19" s="17"/>
      <c r="Z19" s="17"/>
      <c r="AA19" s="17"/>
      <c r="AB19" s="17"/>
      <c r="AC19" s="17"/>
      <c r="AD19" s="17"/>
      <c r="AE19" s="17"/>
      <c r="AF19" s="17"/>
      <c r="AG19" s="17"/>
      <c r="AH19" s="17"/>
      <c r="AI19" s="17"/>
      <c r="AJ19" s="17"/>
      <c r="AK19" s="17"/>
    </row>
    <row r="20" spans="1:37" ht="15.6" x14ac:dyDescent="0.3">
      <c r="A20" s="18">
        <f t="shared" si="0"/>
        <v>12</v>
      </c>
      <c r="B20" s="19"/>
      <c r="C20" s="19"/>
      <c r="D20" s="20" t="s">
        <v>31</v>
      </c>
      <c r="E20" s="21">
        <v>1</v>
      </c>
      <c r="F20" s="22">
        <v>0</v>
      </c>
      <c r="G20" s="21">
        <f t="shared" si="1"/>
        <v>1</v>
      </c>
      <c r="H20" s="19" t="s">
        <v>20</v>
      </c>
      <c r="I20" s="23"/>
      <c r="J20" s="23"/>
      <c r="K20" s="23"/>
      <c r="L20" s="23"/>
      <c r="M20" s="23"/>
      <c r="N20" s="24">
        <f t="shared" si="2"/>
        <v>0</v>
      </c>
      <c r="O20" s="24"/>
      <c r="P20" s="24">
        <f t="shared" si="3"/>
        <v>0</v>
      </c>
      <c r="Q20" s="25"/>
      <c r="R20" s="17"/>
      <c r="S20" s="17"/>
      <c r="T20" s="17"/>
      <c r="U20" s="17"/>
      <c r="V20" s="17"/>
      <c r="W20" s="17"/>
      <c r="X20" s="17"/>
      <c r="Y20" s="17"/>
      <c r="Z20" s="17"/>
      <c r="AA20" s="17"/>
      <c r="AB20" s="17"/>
      <c r="AC20" s="17"/>
      <c r="AD20" s="17"/>
      <c r="AE20" s="17"/>
      <c r="AF20" s="17"/>
      <c r="AG20" s="17"/>
      <c r="AH20" s="17"/>
      <c r="AI20" s="17"/>
      <c r="AJ20" s="17"/>
      <c r="AK20" s="17"/>
    </row>
    <row r="21" spans="1:37" ht="15.75" customHeight="1" x14ac:dyDescent="0.3">
      <c r="A21" s="18">
        <f t="shared" si="0"/>
        <v>13</v>
      </c>
      <c r="B21" s="19"/>
      <c r="C21" s="19"/>
      <c r="D21" s="20" t="s">
        <v>32</v>
      </c>
      <c r="E21" s="21">
        <v>1</v>
      </c>
      <c r="F21" s="22">
        <v>0</v>
      </c>
      <c r="G21" s="21">
        <f t="shared" si="1"/>
        <v>1</v>
      </c>
      <c r="H21" s="19" t="s">
        <v>20</v>
      </c>
      <c r="I21" s="23"/>
      <c r="J21" s="23"/>
      <c r="K21" s="23"/>
      <c r="L21" s="23"/>
      <c r="M21" s="23"/>
      <c r="N21" s="24">
        <f t="shared" si="2"/>
        <v>0</v>
      </c>
      <c r="O21" s="24"/>
      <c r="P21" s="24">
        <f t="shared" si="3"/>
        <v>0</v>
      </c>
      <c r="Q21" s="25"/>
      <c r="R21" s="17"/>
      <c r="S21" s="17"/>
      <c r="T21" s="17"/>
      <c r="U21" s="17"/>
      <c r="V21" s="17"/>
      <c r="W21" s="17"/>
      <c r="X21" s="17"/>
      <c r="Y21" s="17"/>
      <c r="Z21" s="17"/>
      <c r="AA21" s="17"/>
      <c r="AB21" s="17"/>
      <c r="AC21" s="17"/>
      <c r="AD21" s="17"/>
      <c r="AE21" s="17"/>
      <c r="AF21" s="17"/>
      <c r="AG21" s="17"/>
      <c r="AH21" s="17"/>
      <c r="AI21" s="17"/>
      <c r="AJ21" s="17"/>
      <c r="AK21" s="17"/>
    </row>
    <row r="22" spans="1:37" ht="15.75" customHeight="1" x14ac:dyDescent="0.3">
      <c r="A22" s="18">
        <f t="shared" si="0"/>
        <v>14</v>
      </c>
      <c r="B22" s="19"/>
      <c r="C22" s="19"/>
      <c r="D22" s="20" t="s">
        <v>33</v>
      </c>
      <c r="E22" s="21">
        <v>1</v>
      </c>
      <c r="F22" s="22">
        <v>0</v>
      </c>
      <c r="G22" s="21">
        <f t="shared" si="1"/>
        <v>1</v>
      </c>
      <c r="H22" s="19" t="s">
        <v>20</v>
      </c>
      <c r="I22" s="23"/>
      <c r="J22" s="23"/>
      <c r="K22" s="23"/>
      <c r="L22" s="23"/>
      <c r="M22" s="23"/>
      <c r="N22" s="24">
        <f t="shared" si="2"/>
        <v>0</v>
      </c>
      <c r="O22" s="24"/>
      <c r="P22" s="24">
        <f t="shared" si="3"/>
        <v>0</v>
      </c>
      <c r="Q22" s="25"/>
      <c r="R22" s="17"/>
      <c r="S22" s="17"/>
      <c r="T22" s="17"/>
      <c r="U22" s="17"/>
      <c r="V22" s="17"/>
      <c r="W22" s="17"/>
      <c r="X22" s="17"/>
      <c r="Y22" s="17"/>
      <c r="Z22" s="17"/>
      <c r="AA22" s="17"/>
      <c r="AB22" s="17"/>
      <c r="AC22" s="17"/>
      <c r="AD22" s="17"/>
      <c r="AE22" s="17"/>
      <c r="AF22" s="17"/>
      <c r="AG22" s="17"/>
      <c r="AH22" s="17"/>
      <c r="AI22" s="17"/>
      <c r="AJ22" s="17"/>
      <c r="AK22" s="17"/>
    </row>
    <row r="23" spans="1:37" ht="15.75" customHeight="1" x14ac:dyDescent="0.3">
      <c r="A23" s="18">
        <f t="shared" si="0"/>
        <v>15</v>
      </c>
      <c r="B23" s="19"/>
      <c r="C23" s="19"/>
      <c r="D23" s="20" t="s">
        <v>34</v>
      </c>
      <c r="E23" s="21">
        <v>1</v>
      </c>
      <c r="F23" s="22">
        <v>0</v>
      </c>
      <c r="G23" s="21">
        <f t="shared" si="1"/>
        <v>1</v>
      </c>
      <c r="H23" s="19" t="s">
        <v>20</v>
      </c>
      <c r="I23" s="23"/>
      <c r="J23" s="23"/>
      <c r="K23" s="23"/>
      <c r="L23" s="23"/>
      <c r="M23" s="23"/>
      <c r="N23" s="24">
        <f t="shared" si="2"/>
        <v>0</v>
      </c>
      <c r="O23" s="24"/>
      <c r="P23" s="24">
        <f t="shared" si="3"/>
        <v>0</v>
      </c>
      <c r="Q23" s="25"/>
      <c r="R23" s="17"/>
      <c r="S23" s="17"/>
      <c r="T23" s="17"/>
      <c r="U23" s="17"/>
      <c r="V23" s="17"/>
      <c r="W23" s="17"/>
      <c r="X23" s="17"/>
      <c r="Y23" s="17"/>
      <c r="Z23" s="17"/>
      <c r="AA23" s="17"/>
      <c r="AB23" s="17"/>
      <c r="AC23" s="17"/>
      <c r="AD23" s="17"/>
      <c r="AE23" s="17"/>
      <c r="AF23" s="17"/>
      <c r="AG23" s="17"/>
      <c r="AH23" s="17"/>
      <c r="AI23" s="17"/>
      <c r="AJ23" s="17"/>
      <c r="AK23" s="17"/>
    </row>
    <row r="24" spans="1:37" ht="15.75" customHeight="1" x14ac:dyDescent="0.3">
      <c r="A24" s="18" t="str">
        <f t="shared" si="0"/>
        <v/>
      </c>
      <c r="B24" s="19"/>
      <c r="C24" s="19"/>
      <c r="D24" s="20"/>
      <c r="E24" s="21"/>
      <c r="F24" s="22"/>
      <c r="G24" s="21"/>
      <c r="H24" s="19"/>
      <c r="I24" s="23"/>
      <c r="J24" s="23"/>
      <c r="K24" s="23"/>
      <c r="L24" s="23"/>
      <c r="M24" s="23"/>
      <c r="N24" s="24" t="str">
        <f t="shared" si="2"/>
        <v/>
      </c>
      <c r="O24" s="24"/>
      <c r="P24" s="24" t="str">
        <f t="shared" si="3"/>
        <v/>
      </c>
      <c r="Q24" s="25"/>
      <c r="R24" s="17"/>
      <c r="S24" s="17"/>
      <c r="T24" s="17"/>
      <c r="U24" s="17"/>
      <c r="V24" s="17"/>
      <c r="W24" s="17"/>
      <c r="X24" s="17"/>
      <c r="Y24" s="17"/>
      <c r="Z24" s="17"/>
      <c r="AA24" s="17"/>
      <c r="AB24" s="17"/>
      <c r="AC24" s="17"/>
      <c r="AD24" s="17"/>
      <c r="AE24" s="17"/>
      <c r="AF24" s="17"/>
      <c r="AG24" s="17"/>
      <c r="AH24" s="17"/>
      <c r="AI24" s="17"/>
      <c r="AJ24" s="17"/>
      <c r="AK24" s="17"/>
    </row>
    <row r="25" spans="1:37" ht="15.75" customHeight="1" x14ac:dyDescent="0.3">
      <c r="A25" s="18" t="str">
        <f t="shared" si="0"/>
        <v/>
      </c>
      <c r="B25" s="19"/>
      <c r="C25" s="19"/>
      <c r="D25" s="26" t="s">
        <v>35</v>
      </c>
      <c r="E25" s="27"/>
      <c r="F25" s="28"/>
      <c r="G25" s="27"/>
      <c r="H25" s="29"/>
      <c r="I25" s="30"/>
      <c r="J25" s="30"/>
      <c r="K25" s="30"/>
      <c r="L25" s="30"/>
      <c r="M25" s="30"/>
      <c r="N25" s="31" t="str">
        <f t="shared" si="2"/>
        <v/>
      </c>
      <c r="O25" s="31"/>
      <c r="P25" s="32" t="str">
        <f t="shared" si="3"/>
        <v/>
      </c>
      <c r="Q25" s="33">
        <f>SUM(P9:P24)</f>
        <v>0</v>
      </c>
      <c r="R25" s="17"/>
      <c r="S25" s="17"/>
      <c r="T25" s="17"/>
      <c r="U25" s="17"/>
      <c r="V25" s="17"/>
      <c r="W25" s="17"/>
      <c r="X25" s="17"/>
      <c r="Y25" s="17"/>
      <c r="Z25" s="17"/>
      <c r="AA25" s="17"/>
      <c r="AB25" s="17"/>
      <c r="AC25" s="17"/>
      <c r="AD25" s="17"/>
      <c r="AE25" s="17"/>
      <c r="AF25" s="17"/>
      <c r="AG25" s="17"/>
      <c r="AH25" s="17"/>
      <c r="AI25" s="17"/>
      <c r="AJ25" s="17"/>
      <c r="AK25" s="17"/>
    </row>
    <row r="26" spans="1:37" s="158" customFormat="1" ht="15.75" customHeight="1" x14ac:dyDescent="0.3">
      <c r="A26" s="154" t="str">
        <f t="shared" si="0"/>
        <v/>
      </c>
      <c r="B26" s="155"/>
      <c r="C26" s="155" t="s">
        <v>36</v>
      </c>
      <c r="D26" s="155" t="s">
        <v>37</v>
      </c>
      <c r="E26" s="155"/>
      <c r="F26" s="155"/>
      <c r="G26" s="155"/>
      <c r="H26" s="155"/>
      <c r="I26" s="155"/>
      <c r="J26" s="155"/>
      <c r="K26" s="159">
        <v>1</v>
      </c>
      <c r="L26" s="155"/>
      <c r="M26" s="155"/>
      <c r="N26" s="155" t="str">
        <f t="shared" si="2"/>
        <v/>
      </c>
      <c r="O26" s="155"/>
      <c r="P26" s="155" t="str">
        <f t="shared" si="3"/>
        <v/>
      </c>
      <c r="Q26" s="157"/>
    </row>
    <row r="27" spans="1:37" ht="15.75" customHeight="1" x14ac:dyDescent="0.3">
      <c r="A27" s="34" t="str">
        <f t="shared" si="0"/>
        <v/>
      </c>
      <c r="B27" s="19"/>
      <c r="C27" s="19"/>
      <c r="D27" s="160" t="s">
        <v>38</v>
      </c>
      <c r="E27" s="21"/>
      <c r="F27" s="22"/>
      <c r="G27" s="21"/>
      <c r="H27" s="19"/>
      <c r="I27" s="23"/>
      <c r="J27" s="23"/>
      <c r="K27" s="23"/>
      <c r="L27" s="23"/>
      <c r="M27" s="23"/>
      <c r="N27" s="24" t="str">
        <f t="shared" si="2"/>
        <v/>
      </c>
      <c r="O27" s="24"/>
      <c r="P27" s="24" t="str">
        <f t="shared" si="3"/>
        <v/>
      </c>
      <c r="Q27" s="25"/>
      <c r="R27" s="17"/>
      <c r="S27" s="17"/>
      <c r="T27" s="17"/>
      <c r="U27" s="17"/>
      <c r="V27" s="17"/>
      <c r="W27" s="17"/>
      <c r="X27" s="17"/>
      <c r="Y27" s="17"/>
      <c r="Z27" s="17"/>
      <c r="AA27" s="17"/>
      <c r="AB27" s="17"/>
      <c r="AC27" s="17"/>
      <c r="AD27" s="17"/>
      <c r="AE27" s="17"/>
      <c r="AF27" s="17"/>
      <c r="AG27" s="17"/>
      <c r="AH27" s="17"/>
      <c r="AI27" s="17"/>
      <c r="AJ27" s="17"/>
      <c r="AK27" s="17"/>
    </row>
    <row r="28" spans="1:37" ht="15.75" customHeight="1" x14ac:dyDescent="0.3">
      <c r="A28" s="18">
        <f t="shared" si="0"/>
        <v>16</v>
      </c>
      <c r="B28" s="19" t="s">
        <v>39</v>
      </c>
      <c r="C28" s="19"/>
      <c r="D28" s="20" t="s">
        <v>40</v>
      </c>
      <c r="E28" s="21">
        <v>1</v>
      </c>
      <c r="F28" s="22">
        <v>0</v>
      </c>
      <c r="G28" s="21">
        <f t="shared" ref="G28:G29" si="4">E28+(E28*F28)</f>
        <v>1</v>
      </c>
      <c r="H28" s="19" t="s">
        <v>41</v>
      </c>
      <c r="I28" s="23">
        <v>150</v>
      </c>
      <c r="J28" s="35">
        <v>3.2608695652173911</v>
      </c>
      <c r="K28" s="35">
        <f t="shared" ref="K28:K31" si="5">IF(H28&lt;&gt;"",(J28/8/$K$26),"")</f>
        <v>0.40760869565217389</v>
      </c>
      <c r="L28" s="35">
        <f t="shared" ref="L28:L273" si="6">IF(H28&lt;&gt;"",(46),"")</f>
        <v>46</v>
      </c>
      <c r="M28" s="23"/>
      <c r="N28" s="36">
        <f t="shared" ref="N28:N273" si="7">IF(H28&lt;&gt;"",(L28*J28),"")</f>
        <v>150</v>
      </c>
      <c r="O28" s="37"/>
      <c r="P28" s="24">
        <f t="shared" ref="P28:P273" si="8">IF(H28&lt;&gt;"",O28+N28,"")</f>
        <v>150</v>
      </c>
      <c r="Q28" s="25"/>
      <c r="R28" s="17"/>
      <c r="S28" s="17"/>
      <c r="T28" s="17"/>
      <c r="U28" s="17"/>
      <c r="V28" s="17"/>
      <c r="W28" s="17"/>
      <c r="X28" s="17"/>
      <c r="Y28" s="17"/>
      <c r="Z28" s="17"/>
      <c r="AA28" s="17"/>
      <c r="AB28" s="17"/>
      <c r="AC28" s="17"/>
      <c r="AD28" s="17"/>
      <c r="AE28" s="17"/>
      <c r="AF28" s="17"/>
      <c r="AG28" s="17"/>
      <c r="AH28" s="17"/>
      <c r="AI28" s="17"/>
      <c r="AJ28" s="17"/>
      <c r="AK28" s="17"/>
    </row>
    <row r="29" spans="1:37" ht="15.75" customHeight="1" x14ac:dyDescent="0.3">
      <c r="A29" s="34">
        <f t="shared" si="0"/>
        <v>17</v>
      </c>
      <c r="B29" s="19" t="s">
        <v>39</v>
      </c>
      <c r="C29" s="19"/>
      <c r="D29" s="20" t="s">
        <v>42</v>
      </c>
      <c r="E29" s="21">
        <v>29.29</v>
      </c>
      <c r="F29" s="22">
        <v>0</v>
      </c>
      <c r="G29" s="21">
        <f t="shared" si="4"/>
        <v>29.29</v>
      </c>
      <c r="H29" s="19" t="s">
        <v>43</v>
      </c>
      <c r="I29" s="23">
        <v>3.2</v>
      </c>
      <c r="J29" s="23">
        <v>2.0375652173913044</v>
      </c>
      <c r="K29" s="23">
        <f t="shared" si="5"/>
        <v>0.25469565217391305</v>
      </c>
      <c r="L29" s="23">
        <f t="shared" si="6"/>
        <v>46</v>
      </c>
      <c r="M29" s="23"/>
      <c r="N29" s="24">
        <f t="shared" si="7"/>
        <v>93.727999999999994</v>
      </c>
      <c r="O29" s="24"/>
      <c r="P29" s="24">
        <f t="shared" si="8"/>
        <v>93.727999999999994</v>
      </c>
      <c r="Q29" s="25"/>
      <c r="R29" s="17"/>
      <c r="S29" s="17"/>
      <c r="T29" s="17"/>
      <c r="U29" s="17"/>
      <c r="V29" s="17"/>
      <c r="W29" s="17"/>
      <c r="X29" s="17"/>
      <c r="Y29" s="17"/>
      <c r="Z29" s="17"/>
      <c r="AA29" s="17"/>
      <c r="AB29" s="17"/>
      <c r="AC29" s="17"/>
      <c r="AD29" s="17"/>
      <c r="AE29" s="17"/>
      <c r="AF29" s="17"/>
      <c r="AG29" s="17"/>
      <c r="AH29" s="17"/>
      <c r="AI29" s="17"/>
      <c r="AJ29" s="17"/>
      <c r="AK29" s="17"/>
    </row>
    <row r="30" spans="1:37" ht="15.75" customHeight="1" x14ac:dyDescent="0.3">
      <c r="A30" s="34" t="str">
        <f t="shared" si="0"/>
        <v/>
      </c>
      <c r="B30" s="19"/>
      <c r="C30" s="19"/>
      <c r="D30" s="20"/>
      <c r="E30" s="21"/>
      <c r="F30" s="22"/>
      <c r="G30" s="21"/>
      <c r="H30" s="19"/>
      <c r="I30" s="23"/>
      <c r="J30" s="23" t="s">
        <v>44</v>
      </c>
      <c r="K30" s="23" t="str">
        <f t="shared" si="5"/>
        <v/>
      </c>
      <c r="L30" s="23" t="str">
        <f t="shared" si="6"/>
        <v/>
      </c>
      <c r="M30" s="23"/>
      <c r="N30" s="24" t="str">
        <f t="shared" si="7"/>
        <v/>
      </c>
      <c r="O30" s="24"/>
      <c r="P30" s="24" t="str">
        <f t="shared" si="8"/>
        <v/>
      </c>
      <c r="Q30" s="25"/>
      <c r="R30" s="17"/>
      <c r="S30" s="17"/>
      <c r="T30" s="17"/>
      <c r="U30" s="17"/>
      <c r="V30" s="17"/>
      <c r="W30" s="17"/>
      <c r="X30" s="17"/>
      <c r="Y30" s="17"/>
      <c r="Z30" s="17"/>
      <c r="AA30" s="17"/>
      <c r="AB30" s="17"/>
      <c r="AC30" s="17"/>
      <c r="AD30" s="17"/>
      <c r="AE30" s="17"/>
      <c r="AF30" s="17"/>
      <c r="AG30" s="17"/>
      <c r="AH30" s="17"/>
      <c r="AI30" s="17"/>
      <c r="AJ30" s="17"/>
      <c r="AK30" s="17"/>
    </row>
    <row r="31" spans="1:37" ht="15.75" customHeight="1" x14ac:dyDescent="0.3">
      <c r="A31" s="34" t="str">
        <f t="shared" si="0"/>
        <v/>
      </c>
      <c r="B31" s="19"/>
      <c r="C31" s="19"/>
      <c r="D31" s="26" t="s">
        <v>35</v>
      </c>
      <c r="E31" s="27"/>
      <c r="F31" s="28"/>
      <c r="G31" s="27"/>
      <c r="H31" s="29"/>
      <c r="I31" s="30"/>
      <c r="J31" s="30" t="s">
        <v>44</v>
      </c>
      <c r="K31" s="30" t="str">
        <f t="shared" si="5"/>
        <v/>
      </c>
      <c r="L31" s="30" t="str">
        <f t="shared" si="6"/>
        <v/>
      </c>
      <c r="M31" s="30"/>
      <c r="N31" s="31" t="str">
        <f t="shared" si="7"/>
        <v/>
      </c>
      <c r="O31" s="31"/>
      <c r="P31" s="32" t="str">
        <f t="shared" si="8"/>
        <v/>
      </c>
      <c r="Q31" s="33">
        <f>SUM(P27:P30)</f>
        <v>243.72800000000001</v>
      </c>
      <c r="R31" s="17"/>
      <c r="S31" s="17"/>
      <c r="T31" s="17"/>
      <c r="U31" s="17"/>
      <c r="V31" s="17"/>
      <c r="W31" s="17"/>
      <c r="X31" s="17"/>
      <c r="Y31" s="17"/>
      <c r="Z31" s="17"/>
      <c r="AA31" s="17"/>
      <c r="AB31" s="17"/>
      <c r="AC31" s="17"/>
      <c r="AD31" s="17"/>
      <c r="AE31" s="17"/>
      <c r="AF31" s="17"/>
      <c r="AG31" s="17"/>
      <c r="AH31" s="17"/>
      <c r="AI31" s="17"/>
      <c r="AJ31" s="17"/>
      <c r="AK31" s="17"/>
    </row>
    <row r="32" spans="1:37" s="158" customFormat="1" ht="15.75" customHeight="1" x14ac:dyDescent="0.3">
      <c r="A32" s="154" t="str">
        <f t="shared" si="0"/>
        <v/>
      </c>
      <c r="B32" s="155"/>
      <c r="C32" s="155" t="s">
        <v>45</v>
      </c>
      <c r="D32" s="155" t="s">
        <v>46</v>
      </c>
      <c r="E32" s="155"/>
      <c r="F32" s="155"/>
      <c r="G32" s="155"/>
      <c r="H32" s="155"/>
      <c r="I32" s="155"/>
      <c r="J32" s="155" t="s">
        <v>44</v>
      </c>
      <c r="K32" s="159">
        <v>4</v>
      </c>
      <c r="L32" s="155" t="str">
        <f t="shared" si="6"/>
        <v/>
      </c>
      <c r="M32" s="155"/>
      <c r="N32" s="155" t="str">
        <f t="shared" si="7"/>
        <v/>
      </c>
      <c r="O32" s="155"/>
      <c r="P32" s="155" t="str">
        <f t="shared" si="8"/>
        <v/>
      </c>
      <c r="Q32" s="157"/>
    </row>
    <row r="33" spans="1:37" ht="15.75" customHeight="1" x14ac:dyDescent="0.3">
      <c r="A33" s="34" t="str">
        <f t="shared" si="0"/>
        <v/>
      </c>
      <c r="B33" s="19"/>
      <c r="C33" s="19"/>
      <c r="D33" s="160" t="s">
        <v>47</v>
      </c>
      <c r="E33" s="21"/>
      <c r="F33" s="19"/>
      <c r="G33" s="21"/>
      <c r="H33" s="19"/>
      <c r="I33" s="23"/>
      <c r="J33" s="23" t="s">
        <v>44</v>
      </c>
      <c r="K33" s="23" t="str">
        <f>IF(H33&lt;&gt;"",(J33/8/$K$26),"")</f>
        <v/>
      </c>
      <c r="L33" s="23" t="str">
        <f t="shared" si="6"/>
        <v/>
      </c>
      <c r="M33" s="23"/>
      <c r="N33" s="24" t="str">
        <f t="shared" si="7"/>
        <v/>
      </c>
      <c r="O33" s="24"/>
      <c r="P33" s="24" t="str">
        <f t="shared" si="8"/>
        <v/>
      </c>
      <c r="Q33" s="25"/>
      <c r="R33" s="17"/>
      <c r="S33" s="17"/>
      <c r="T33" s="17"/>
      <c r="U33" s="17"/>
      <c r="V33" s="17"/>
      <c r="W33" s="17"/>
      <c r="X33" s="17"/>
      <c r="Y33" s="17"/>
      <c r="Z33" s="17"/>
      <c r="AA33" s="17"/>
      <c r="AB33" s="17"/>
      <c r="AC33" s="17"/>
      <c r="AD33" s="17"/>
      <c r="AE33" s="17"/>
      <c r="AF33" s="17"/>
      <c r="AG33" s="17"/>
      <c r="AH33" s="17"/>
      <c r="AI33" s="17"/>
      <c r="AJ33" s="17"/>
      <c r="AK33" s="17"/>
    </row>
    <row r="34" spans="1:37" ht="15.75" customHeight="1" x14ac:dyDescent="0.3">
      <c r="A34" s="34">
        <f t="shared" si="0"/>
        <v>18</v>
      </c>
      <c r="B34" s="19" t="s">
        <v>48</v>
      </c>
      <c r="C34" s="19"/>
      <c r="D34" s="38" t="s">
        <v>49</v>
      </c>
      <c r="E34" s="21">
        <v>520.15</v>
      </c>
      <c r="F34" s="22">
        <v>0.1</v>
      </c>
      <c r="G34" s="21">
        <f>E34+(E34*F34)</f>
        <v>572.16499999999996</v>
      </c>
      <c r="H34" s="19" t="s">
        <v>43</v>
      </c>
      <c r="I34" s="23">
        <v>4.8000000000000007</v>
      </c>
      <c r="J34" s="23">
        <v>59.704173913043483</v>
      </c>
      <c r="K34" s="23">
        <f t="shared" ref="K34:K37" si="9">IF(H34&lt;&gt;"",(J34/8/$K$32),"")</f>
        <v>1.8657554347826089</v>
      </c>
      <c r="L34" s="23">
        <f t="shared" si="6"/>
        <v>46</v>
      </c>
      <c r="M34" s="23">
        <v>7.2</v>
      </c>
      <c r="N34" s="24">
        <f t="shared" si="7"/>
        <v>2746.3920000000003</v>
      </c>
      <c r="O34" s="24">
        <f>M34*G34</f>
        <v>4119.5879999999997</v>
      </c>
      <c r="P34" s="24">
        <f t="shared" si="8"/>
        <v>6865.98</v>
      </c>
      <c r="Q34" s="25"/>
      <c r="R34" s="17"/>
      <c r="S34" s="17"/>
      <c r="T34" s="17"/>
      <c r="U34" s="17"/>
      <c r="V34" s="17"/>
      <c r="W34" s="17"/>
      <c r="X34" s="17"/>
      <c r="Y34" s="17"/>
      <c r="Z34" s="17"/>
      <c r="AA34" s="17"/>
      <c r="AB34" s="17"/>
      <c r="AC34" s="17"/>
      <c r="AD34" s="17"/>
      <c r="AE34" s="17"/>
      <c r="AF34" s="17"/>
      <c r="AG34" s="17"/>
      <c r="AH34" s="17"/>
      <c r="AI34" s="17"/>
      <c r="AJ34" s="17"/>
      <c r="AK34" s="17"/>
    </row>
    <row r="35" spans="1:37" ht="15.75" customHeight="1" x14ac:dyDescent="0.3">
      <c r="A35" s="34" t="str">
        <f t="shared" si="0"/>
        <v/>
      </c>
      <c r="B35" s="19"/>
      <c r="C35" s="19"/>
      <c r="D35" s="20"/>
      <c r="E35" s="21"/>
      <c r="F35" s="19"/>
      <c r="G35" s="21"/>
      <c r="H35" s="19"/>
      <c r="I35" s="23" t="s">
        <v>44</v>
      </c>
      <c r="J35" s="23" t="s">
        <v>44</v>
      </c>
      <c r="K35" s="23" t="str">
        <f t="shared" si="9"/>
        <v/>
      </c>
      <c r="L35" s="23" t="str">
        <f t="shared" si="6"/>
        <v/>
      </c>
      <c r="M35" s="23" t="s">
        <v>44</v>
      </c>
      <c r="N35" s="24" t="str">
        <f t="shared" si="7"/>
        <v/>
      </c>
      <c r="O35" s="24"/>
      <c r="P35" s="24" t="str">
        <f t="shared" si="8"/>
        <v/>
      </c>
      <c r="Q35" s="25"/>
      <c r="R35" s="17"/>
      <c r="S35" s="17"/>
      <c r="T35" s="17"/>
      <c r="U35" s="17"/>
      <c r="V35" s="17"/>
      <c r="W35" s="17"/>
      <c r="X35" s="17"/>
      <c r="Y35" s="17"/>
      <c r="Z35" s="17"/>
      <c r="AA35" s="17"/>
      <c r="AB35" s="17"/>
      <c r="AC35" s="17"/>
      <c r="AD35" s="17"/>
      <c r="AE35" s="17"/>
      <c r="AF35" s="17"/>
      <c r="AG35" s="17"/>
      <c r="AH35" s="17"/>
      <c r="AI35" s="17"/>
      <c r="AJ35" s="17"/>
      <c r="AK35" s="17"/>
    </row>
    <row r="36" spans="1:37" ht="15.75" customHeight="1" x14ac:dyDescent="0.3">
      <c r="A36" s="34" t="str">
        <f t="shared" si="0"/>
        <v/>
      </c>
      <c r="B36" s="19"/>
      <c r="C36" s="19"/>
      <c r="D36" s="160" t="s">
        <v>50</v>
      </c>
      <c r="E36" s="21"/>
      <c r="F36" s="19"/>
      <c r="G36" s="21"/>
      <c r="H36" s="19"/>
      <c r="I36" s="23" t="s">
        <v>44</v>
      </c>
      <c r="J36" s="23" t="s">
        <v>44</v>
      </c>
      <c r="K36" s="23" t="str">
        <f t="shared" si="9"/>
        <v/>
      </c>
      <c r="L36" s="23" t="str">
        <f t="shared" si="6"/>
        <v/>
      </c>
      <c r="M36" s="23" t="s">
        <v>44</v>
      </c>
      <c r="N36" s="24" t="str">
        <f t="shared" si="7"/>
        <v/>
      </c>
      <c r="O36" s="24"/>
      <c r="P36" s="24" t="str">
        <f t="shared" si="8"/>
        <v/>
      </c>
      <c r="Q36" s="25"/>
      <c r="R36" s="17"/>
      <c r="S36" s="17"/>
      <c r="T36" s="17"/>
      <c r="U36" s="17"/>
      <c r="V36" s="17"/>
      <c r="W36" s="17"/>
      <c r="X36" s="17"/>
      <c r="Y36" s="17"/>
      <c r="Z36" s="17"/>
      <c r="AA36" s="17"/>
      <c r="AB36" s="17"/>
      <c r="AC36" s="17"/>
      <c r="AD36" s="17"/>
      <c r="AE36" s="17"/>
      <c r="AF36" s="17"/>
      <c r="AG36" s="17"/>
      <c r="AH36" s="17"/>
      <c r="AI36" s="17"/>
      <c r="AJ36" s="17"/>
      <c r="AK36" s="17"/>
    </row>
    <row r="37" spans="1:37" ht="15.75" customHeight="1" x14ac:dyDescent="0.3">
      <c r="A37" s="18">
        <f t="shared" si="0"/>
        <v>19</v>
      </c>
      <c r="B37" s="19" t="s">
        <v>51</v>
      </c>
      <c r="C37" s="19"/>
      <c r="D37" s="20" t="s">
        <v>52</v>
      </c>
      <c r="E37" s="21">
        <v>16439</v>
      </c>
      <c r="F37" s="22">
        <v>0.1</v>
      </c>
      <c r="G37" s="21">
        <f>E37+(E37*F37)</f>
        <v>18082.900000000001</v>
      </c>
      <c r="H37" s="19" t="s">
        <v>53</v>
      </c>
      <c r="I37" s="23">
        <v>2.2000000000000002</v>
      </c>
      <c r="J37" s="23">
        <v>864.83434782608708</v>
      </c>
      <c r="K37" s="23">
        <f t="shared" si="9"/>
        <v>27.026073369565221</v>
      </c>
      <c r="L37" s="23">
        <f t="shared" si="6"/>
        <v>46</v>
      </c>
      <c r="M37" s="23">
        <v>3.3</v>
      </c>
      <c r="N37" s="24">
        <f t="shared" si="7"/>
        <v>39782.380000000005</v>
      </c>
      <c r="O37" s="24">
        <f>M37*G37</f>
        <v>59673.57</v>
      </c>
      <c r="P37" s="24">
        <f t="shared" si="8"/>
        <v>99455.950000000012</v>
      </c>
      <c r="Q37" s="25"/>
      <c r="R37" s="17"/>
      <c r="S37" s="17"/>
      <c r="T37" s="17"/>
      <c r="U37" s="17"/>
      <c r="V37" s="17"/>
      <c r="W37" s="17"/>
      <c r="X37" s="17"/>
      <c r="Y37" s="17"/>
      <c r="Z37" s="17"/>
      <c r="AA37" s="17"/>
      <c r="AB37" s="17"/>
      <c r="AC37" s="17"/>
      <c r="AD37" s="17"/>
      <c r="AE37" s="17"/>
      <c r="AF37" s="17"/>
      <c r="AG37" s="17"/>
      <c r="AH37" s="17"/>
      <c r="AI37" s="17"/>
      <c r="AJ37" s="17"/>
      <c r="AK37" s="17"/>
    </row>
    <row r="38" spans="1:37" ht="15.75" customHeight="1" x14ac:dyDescent="0.3">
      <c r="A38" s="18" t="str">
        <f t="shared" si="0"/>
        <v/>
      </c>
      <c r="B38" s="19"/>
      <c r="C38" s="19"/>
      <c r="D38" s="20"/>
      <c r="E38" s="21"/>
      <c r="F38" s="22"/>
      <c r="G38" s="21"/>
      <c r="H38" s="19"/>
      <c r="I38" s="23" t="s">
        <v>44</v>
      </c>
      <c r="J38" s="23" t="s">
        <v>44</v>
      </c>
      <c r="K38" s="23" t="str">
        <f t="shared" ref="K38:K39" si="10">IF(H38&lt;&gt;"",(J38/8/$K$26),"")</f>
        <v/>
      </c>
      <c r="L38" s="23" t="str">
        <f t="shared" si="6"/>
        <v/>
      </c>
      <c r="M38" s="23" t="s">
        <v>44</v>
      </c>
      <c r="N38" s="24" t="str">
        <f t="shared" si="7"/>
        <v/>
      </c>
      <c r="O38" s="24"/>
      <c r="P38" s="24" t="str">
        <f t="shared" si="8"/>
        <v/>
      </c>
      <c r="Q38" s="25"/>
      <c r="R38" s="17"/>
      <c r="S38" s="17"/>
      <c r="T38" s="17"/>
      <c r="U38" s="17"/>
      <c r="V38" s="17"/>
      <c r="W38" s="17"/>
      <c r="X38" s="17"/>
      <c r="Y38" s="17"/>
      <c r="Z38" s="17"/>
      <c r="AA38" s="17"/>
      <c r="AB38" s="17"/>
      <c r="AC38" s="17"/>
      <c r="AD38" s="17"/>
      <c r="AE38" s="17"/>
      <c r="AF38" s="17"/>
      <c r="AG38" s="17"/>
      <c r="AH38" s="17"/>
      <c r="AI38" s="17"/>
      <c r="AJ38" s="17"/>
      <c r="AK38" s="17"/>
    </row>
    <row r="39" spans="1:37" ht="15.75" customHeight="1" x14ac:dyDescent="0.3">
      <c r="A39" s="34" t="str">
        <f t="shared" si="0"/>
        <v/>
      </c>
      <c r="B39" s="19"/>
      <c r="C39" s="19"/>
      <c r="D39" s="26" t="s">
        <v>35</v>
      </c>
      <c r="E39" s="27"/>
      <c r="F39" s="28"/>
      <c r="G39" s="27"/>
      <c r="H39" s="29"/>
      <c r="I39" s="30" t="s">
        <v>44</v>
      </c>
      <c r="J39" s="30" t="s">
        <v>44</v>
      </c>
      <c r="K39" s="30" t="str">
        <f t="shared" si="10"/>
        <v/>
      </c>
      <c r="L39" s="30" t="str">
        <f t="shared" si="6"/>
        <v/>
      </c>
      <c r="M39" s="30" t="s">
        <v>44</v>
      </c>
      <c r="N39" s="31" t="str">
        <f t="shared" si="7"/>
        <v/>
      </c>
      <c r="O39" s="31"/>
      <c r="P39" s="32" t="str">
        <f t="shared" si="8"/>
        <v/>
      </c>
      <c r="Q39" s="33">
        <f>SUM(P33:P38)</f>
        <v>106321.93000000001</v>
      </c>
      <c r="R39" s="17"/>
      <c r="S39" s="17"/>
      <c r="T39" s="17"/>
      <c r="U39" s="17"/>
      <c r="V39" s="17"/>
      <c r="W39" s="17"/>
      <c r="X39" s="17"/>
      <c r="Y39" s="17"/>
      <c r="Z39" s="17"/>
      <c r="AA39" s="17"/>
      <c r="AB39" s="17"/>
      <c r="AC39" s="17"/>
      <c r="AD39" s="17"/>
      <c r="AE39" s="17"/>
      <c r="AF39" s="17"/>
      <c r="AG39" s="17"/>
      <c r="AH39" s="17"/>
      <c r="AI39" s="17"/>
      <c r="AJ39" s="17"/>
      <c r="AK39" s="17"/>
    </row>
    <row r="40" spans="1:37" s="158" customFormat="1" ht="15.75" customHeight="1" x14ac:dyDescent="0.3">
      <c r="A40" s="154" t="str">
        <f t="shared" si="0"/>
        <v/>
      </c>
      <c r="B40" s="155"/>
      <c r="C40" s="155" t="s">
        <v>54</v>
      </c>
      <c r="D40" s="155" t="s">
        <v>55</v>
      </c>
      <c r="E40" s="155"/>
      <c r="F40" s="155"/>
      <c r="G40" s="155"/>
      <c r="H40" s="155"/>
      <c r="I40" s="155" t="s">
        <v>44</v>
      </c>
      <c r="J40" s="155" t="s">
        <v>44</v>
      </c>
      <c r="K40" s="159">
        <v>6</v>
      </c>
      <c r="L40" s="155" t="str">
        <f t="shared" si="6"/>
        <v/>
      </c>
      <c r="M40" s="155" t="s">
        <v>44</v>
      </c>
      <c r="N40" s="155" t="str">
        <f t="shared" si="7"/>
        <v/>
      </c>
      <c r="O40" s="155"/>
      <c r="P40" s="155" t="str">
        <f t="shared" si="8"/>
        <v/>
      </c>
      <c r="Q40" s="157"/>
    </row>
    <row r="41" spans="1:37" ht="15.75" customHeight="1" x14ac:dyDescent="0.3">
      <c r="A41" s="34" t="str">
        <f t="shared" si="0"/>
        <v/>
      </c>
      <c r="B41" s="19"/>
      <c r="C41" s="19"/>
      <c r="D41" s="160" t="s">
        <v>56</v>
      </c>
      <c r="E41" s="21"/>
      <c r="F41" s="22"/>
      <c r="G41" s="21"/>
      <c r="H41" s="19"/>
      <c r="I41" s="23" t="s">
        <v>44</v>
      </c>
      <c r="J41" s="23" t="s">
        <v>44</v>
      </c>
      <c r="K41" s="23" t="str">
        <f>IF(H41&lt;&gt;"",(J41/8/$K$26),"")</f>
        <v/>
      </c>
      <c r="L41" s="23" t="str">
        <f t="shared" si="6"/>
        <v/>
      </c>
      <c r="M41" s="23" t="s">
        <v>44</v>
      </c>
      <c r="N41" s="24" t="str">
        <f t="shared" si="7"/>
        <v/>
      </c>
      <c r="O41" s="24"/>
      <c r="P41" s="24" t="str">
        <f t="shared" si="8"/>
        <v/>
      </c>
      <c r="Q41" s="25"/>
      <c r="R41" s="17"/>
      <c r="S41" s="17"/>
      <c r="T41" s="17"/>
      <c r="U41" s="17"/>
      <c r="V41" s="17"/>
      <c r="W41" s="17"/>
      <c r="X41" s="17"/>
      <c r="Y41" s="17"/>
      <c r="Z41" s="17"/>
      <c r="AA41" s="17"/>
      <c r="AB41" s="17"/>
      <c r="AC41" s="17"/>
      <c r="AD41" s="17"/>
      <c r="AE41" s="17"/>
      <c r="AF41" s="17"/>
      <c r="AG41" s="17"/>
      <c r="AH41" s="17"/>
      <c r="AI41" s="17"/>
      <c r="AJ41" s="17"/>
      <c r="AK41" s="17"/>
    </row>
    <row r="42" spans="1:37" ht="15.75" customHeight="1" x14ac:dyDescent="0.3">
      <c r="A42" s="34">
        <f t="shared" si="0"/>
        <v>20</v>
      </c>
      <c r="B42" s="19" t="s">
        <v>48</v>
      </c>
      <c r="C42" s="19"/>
      <c r="D42" s="38" t="s">
        <v>57</v>
      </c>
      <c r="E42" s="21">
        <f>520.15*3</f>
        <v>1560.4499999999998</v>
      </c>
      <c r="F42" s="22">
        <v>0.1</v>
      </c>
      <c r="G42" s="21">
        <f t="shared" ref="G42:G43" si="11">E42+(E42*F42)</f>
        <v>1716.4949999999999</v>
      </c>
      <c r="H42" s="19" t="s">
        <v>53</v>
      </c>
      <c r="I42" s="23">
        <v>11.200000000000001</v>
      </c>
      <c r="J42" s="23">
        <v>417.92921739130441</v>
      </c>
      <c r="K42" s="23">
        <f t="shared" ref="K42:K43" si="12">IF(H42&lt;&gt;"",(J42/8/$K$40),"")</f>
        <v>8.7068586956521745</v>
      </c>
      <c r="L42" s="23">
        <f t="shared" si="6"/>
        <v>46</v>
      </c>
      <c r="M42" s="23">
        <v>16.799999999999997</v>
      </c>
      <c r="N42" s="24">
        <f t="shared" si="7"/>
        <v>19224.744000000002</v>
      </c>
      <c r="O42" s="24">
        <f t="shared" ref="O42:O43" si="13">M42*G42</f>
        <v>28837.115999999995</v>
      </c>
      <c r="P42" s="24">
        <f t="shared" si="8"/>
        <v>48061.86</v>
      </c>
      <c r="Q42" s="25"/>
      <c r="R42" s="17"/>
      <c r="S42" s="17"/>
      <c r="T42" s="17"/>
      <c r="U42" s="17"/>
      <c r="V42" s="17"/>
      <c r="W42" s="17"/>
      <c r="X42" s="17"/>
      <c r="Y42" s="17"/>
      <c r="Z42" s="17"/>
      <c r="AA42" s="17"/>
      <c r="AB42" s="17"/>
      <c r="AC42" s="17"/>
      <c r="AD42" s="17"/>
      <c r="AE42" s="17"/>
      <c r="AF42" s="17"/>
      <c r="AG42" s="17"/>
      <c r="AH42" s="17"/>
      <c r="AI42" s="17"/>
      <c r="AJ42" s="17"/>
      <c r="AK42" s="17"/>
    </row>
    <row r="43" spans="1:37" ht="15.75" customHeight="1" x14ac:dyDescent="0.3">
      <c r="A43" s="18">
        <f t="shared" si="0"/>
        <v>21</v>
      </c>
      <c r="B43" s="19" t="s">
        <v>51</v>
      </c>
      <c r="C43" s="19" t="s">
        <v>58</v>
      </c>
      <c r="D43" s="20" t="s">
        <v>59</v>
      </c>
      <c r="E43" s="21">
        <v>15358</v>
      </c>
      <c r="F43" s="22">
        <v>0.1</v>
      </c>
      <c r="G43" s="21">
        <f t="shared" si="11"/>
        <v>16893.8</v>
      </c>
      <c r="H43" s="19" t="s">
        <v>53</v>
      </c>
      <c r="I43" s="23">
        <v>10.4</v>
      </c>
      <c r="J43" s="23">
        <v>3819.4678260869564</v>
      </c>
      <c r="K43" s="23">
        <f t="shared" si="12"/>
        <v>79.572246376811592</v>
      </c>
      <c r="L43" s="23">
        <f t="shared" si="6"/>
        <v>46</v>
      </c>
      <c r="M43" s="23">
        <v>15.6</v>
      </c>
      <c r="N43" s="24">
        <f t="shared" si="7"/>
        <v>175695.52</v>
      </c>
      <c r="O43" s="24">
        <f t="shared" si="13"/>
        <v>263543.27999999997</v>
      </c>
      <c r="P43" s="24">
        <f t="shared" si="8"/>
        <v>439238.79999999993</v>
      </c>
      <c r="Q43" s="25"/>
      <c r="R43" s="17"/>
      <c r="S43" s="17"/>
      <c r="T43" s="17"/>
      <c r="U43" s="17"/>
      <c r="V43" s="17"/>
      <c r="W43" s="17"/>
      <c r="X43" s="17"/>
      <c r="Y43" s="17"/>
      <c r="Z43" s="17"/>
      <c r="AA43" s="17"/>
      <c r="AB43" s="17"/>
      <c r="AC43" s="17"/>
      <c r="AD43" s="17"/>
      <c r="AE43" s="17"/>
      <c r="AF43" s="17"/>
      <c r="AG43" s="17"/>
      <c r="AH43" s="17"/>
      <c r="AI43" s="17"/>
      <c r="AJ43" s="17"/>
      <c r="AK43" s="17"/>
    </row>
    <row r="44" spans="1:37" ht="15.75" customHeight="1" x14ac:dyDescent="0.3">
      <c r="A44" s="34" t="str">
        <f t="shared" si="0"/>
        <v/>
      </c>
      <c r="B44" s="19"/>
      <c r="C44" s="19"/>
      <c r="D44" s="20"/>
      <c r="E44" s="21"/>
      <c r="F44" s="22"/>
      <c r="G44" s="21"/>
      <c r="H44" s="19"/>
      <c r="I44" s="23" t="s">
        <v>44</v>
      </c>
      <c r="J44" s="23" t="s">
        <v>44</v>
      </c>
      <c r="K44" s="23" t="str">
        <f t="shared" ref="K44:K45" si="14">IF(H44&lt;&gt;"",(J44/8/$K$26),"")</f>
        <v/>
      </c>
      <c r="L44" s="23" t="str">
        <f t="shared" si="6"/>
        <v/>
      </c>
      <c r="M44" s="23" t="s">
        <v>44</v>
      </c>
      <c r="N44" s="24" t="str">
        <f t="shared" si="7"/>
        <v/>
      </c>
      <c r="O44" s="24"/>
      <c r="P44" s="24" t="str">
        <f t="shared" si="8"/>
        <v/>
      </c>
      <c r="Q44" s="25"/>
      <c r="R44" s="17"/>
      <c r="S44" s="17"/>
      <c r="T44" s="17"/>
      <c r="U44" s="17"/>
      <c r="V44" s="17"/>
      <c r="W44" s="17"/>
      <c r="X44" s="17"/>
      <c r="Y44" s="17"/>
      <c r="Z44" s="17"/>
      <c r="AA44" s="17"/>
      <c r="AB44" s="17"/>
      <c r="AC44" s="17"/>
      <c r="AD44" s="17"/>
      <c r="AE44" s="17"/>
      <c r="AF44" s="17"/>
      <c r="AG44" s="17"/>
      <c r="AH44" s="17"/>
      <c r="AI44" s="17"/>
      <c r="AJ44" s="17"/>
      <c r="AK44" s="17"/>
    </row>
    <row r="45" spans="1:37" ht="15.75" customHeight="1" x14ac:dyDescent="0.3">
      <c r="A45" s="34" t="str">
        <f t="shared" si="0"/>
        <v/>
      </c>
      <c r="B45" s="19"/>
      <c r="C45" s="19"/>
      <c r="D45" s="26" t="s">
        <v>35</v>
      </c>
      <c r="E45" s="27"/>
      <c r="F45" s="28"/>
      <c r="G45" s="27"/>
      <c r="H45" s="29"/>
      <c r="I45" s="30" t="s">
        <v>44</v>
      </c>
      <c r="J45" s="30" t="s">
        <v>44</v>
      </c>
      <c r="K45" s="30" t="str">
        <f t="shared" si="14"/>
        <v/>
      </c>
      <c r="L45" s="30" t="str">
        <f t="shared" si="6"/>
        <v/>
      </c>
      <c r="M45" s="30" t="s">
        <v>44</v>
      </c>
      <c r="N45" s="31" t="str">
        <f t="shared" si="7"/>
        <v/>
      </c>
      <c r="O45" s="31"/>
      <c r="P45" s="32" t="str">
        <f t="shared" si="8"/>
        <v/>
      </c>
      <c r="Q45" s="33">
        <f>SUM(P41:P44)</f>
        <v>487300.65999999992</v>
      </c>
      <c r="R45" s="17"/>
      <c r="S45" s="17"/>
      <c r="T45" s="17"/>
      <c r="U45" s="17"/>
      <c r="V45" s="17"/>
      <c r="W45" s="17"/>
      <c r="X45" s="17"/>
      <c r="Y45" s="17"/>
      <c r="Z45" s="17"/>
      <c r="AA45" s="17"/>
      <c r="AB45" s="17"/>
      <c r="AC45" s="17"/>
      <c r="AD45" s="17"/>
      <c r="AE45" s="17"/>
      <c r="AF45" s="17"/>
      <c r="AG45" s="17"/>
      <c r="AH45" s="17"/>
      <c r="AI45" s="17"/>
      <c r="AJ45" s="17"/>
      <c r="AK45" s="17"/>
    </row>
    <row r="46" spans="1:37" s="158" customFormat="1" ht="15.75" customHeight="1" x14ac:dyDescent="0.3">
      <c r="A46" s="154" t="str">
        <f t="shared" si="0"/>
        <v/>
      </c>
      <c r="B46" s="155"/>
      <c r="C46" s="155" t="s">
        <v>60</v>
      </c>
      <c r="D46" s="155" t="s">
        <v>61</v>
      </c>
      <c r="E46" s="155"/>
      <c r="F46" s="155"/>
      <c r="G46" s="155"/>
      <c r="H46" s="155"/>
      <c r="I46" s="155" t="s">
        <v>44</v>
      </c>
      <c r="J46" s="155" t="s">
        <v>44</v>
      </c>
      <c r="K46" s="159">
        <v>12</v>
      </c>
      <c r="L46" s="155" t="str">
        <f t="shared" si="6"/>
        <v/>
      </c>
      <c r="M46" s="155" t="s">
        <v>44</v>
      </c>
      <c r="N46" s="155" t="str">
        <f t="shared" si="7"/>
        <v/>
      </c>
      <c r="O46" s="155"/>
      <c r="P46" s="155" t="str">
        <f t="shared" si="8"/>
        <v/>
      </c>
      <c r="Q46" s="157"/>
    </row>
    <row r="47" spans="1:37" ht="15.75" customHeight="1" x14ac:dyDescent="0.3">
      <c r="A47" s="18" t="str">
        <f t="shared" si="0"/>
        <v/>
      </c>
      <c r="B47" s="19"/>
      <c r="C47" s="19"/>
      <c r="D47" s="160" t="s">
        <v>62</v>
      </c>
      <c r="E47" s="21"/>
      <c r="F47" s="22"/>
      <c r="G47" s="21"/>
      <c r="H47" s="19"/>
      <c r="I47" s="23" t="s">
        <v>44</v>
      </c>
      <c r="J47" s="23" t="s">
        <v>44</v>
      </c>
      <c r="K47" s="23" t="str">
        <f>IF(H47&lt;&gt;"",(J47/8/$K$26),"")</f>
        <v/>
      </c>
      <c r="L47" s="23" t="str">
        <f t="shared" si="6"/>
        <v/>
      </c>
      <c r="M47" s="23" t="s">
        <v>44</v>
      </c>
      <c r="N47" s="24" t="str">
        <f t="shared" si="7"/>
        <v/>
      </c>
      <c r="O47" s="24"/>
      <c r="P47" s="24" t="str">
        <f t="shared" si="8"/>
        <v/>
      </c>
      <c r="Q47" s="25"/>
      <c r="R47" s="17"/>
      <c r="S47" s="17"/>
      <c r="T47" s="17"/>
      <c r="U47" s="17"/>
      <c r="V47" s="17"/>
      <c r="W47" s="17"/>
      <c r="X47" s="17"/>
      <c r="Y47" s="17"/>
      <c r="Z47" s="17"/>
      <c r="AA47" s="17"/>
      <c r="AB47" s="17"/>
      <c r="AC47" s="17"/>
      <c r="AD47" s="17"/>
      <c r="AE47" s="17"/>
      <c r="AF47" s="17"/>
      <c r="AG47" s="17"/>
      <c r="AH47" s="17"/>
      <c r="AI47" s="17"/>
      <c r="AJ47" s="17"/>
      <c r="AK47" s="17"/>
    </row>
    <row r="48" spans="1:37" ht="15.75" customHeight="1" x14ac:dyDescent="0.3">
      <c r="A48" s="18">
        <f t="shared" si="0"/>
        <v>22</v>
      </c>
      <c r="B48" s="19" t="s">
        <v>51</v>
      </c>
      <c r="C48" s="19"/>
      <c r="D48" s="38" t="s">
        <v>63</v>
      </c>
      <c r="E48" s="21">
        <v>52406</v>
      </c>
      <c r="F48" s="22">
        <v>0.1</v>
      </c>
      <c r="G48" s="21">
        <f>E48+(E48*F48)</f>
        <v>57646.6</v>
      </c>
      <c r="H48" s="19" t="s">
        <v>53</v>
      </c>
      <c r="I48" s="23">
        <f>6*0.4</f>
        <v>2.4000000000000004</v>
      </c>
      <c r="J48" s="23">
        <v>3007.6486956521744</v>
      </c>
      <c r="K48" s="23">
        <f t="shared" ref="K48:K60" si="15">IF(H48&lt;&gt;"",(J48/8/$K$46),"")</f>
        <v>31.329673913043482</v>
      </c>
      <c r="L48" s="23">
        <f t="shared" si="6"/>
        <v>46</v>
      </c>
      <c r="M48" s="23">
        <v>3.9</v>
      </c>
      <c r="N48" s="24">
        <f t="shared" si="7"/>
        <v>138351.84000000003</v>
      </c>
      <c r="O48" s="24">
        <f>M48*G48</f>
        <v>224821.74</v>
      </c>
      <c r="P48" s="24">
        <f t="shared" si="8"/>
        <v>363173.58</v>
      </c>
      <c r="Q48" s="25"/>
      <c r="R48" s="17"/>
      <c r="S48" s="17"/>
      <c r="T48" s="17"/>
      <c r="U48" s="17"/>
      <c r="V48" s="17"/>
      <c r="W48" s="17"/>
      <c r="X48" s="17"/>
      <c r="Y48" s="17"/>
      <c r="Z48" s="17"/>
      <c r="AA48" s="17"/>
      <c r="AB48" s="17"/>
      <c r="AC48" s="17"/>
      <c r="AD48" s="17"/>
      <c r="AE48" s="17"/>
      <c r="AF48" s="17"/>
      <c r="AG48" s="17"/>
      <c r="AH48" s="17"/>
      <c r="AI48" s="17"/>
      <c r="AJ48" s="17"/>
      <c r="AK48" s="17"/>
    </row>
    <row r="49" spans="1:37" ht="15.75" customHeight="1" x14ac:dyDescent="0.3">
      <c r="A49" s="18" t="str">
        <f t="shared" si="0"/>
        <v/>
      </c>
      <c r="B49" s="19"/>
      <c r="C49" s="19"/>
      <c r="D49" s="20"/>
      <c r="E49" s="21"/>
      <c r="F49" s="22"/>
      <c r="G49" s="21"/>
      <c r="H49" s="19"/>
      <c r="I49" s="23" t="s">
        <v>44</v>
      </c>
      <c r="J49" s="23" t="s">
        <v>44</v>
      </c>
      <c r="K49" s="23" t="str">
        <f t="shared" si="15"/>
        <v/>
      </c>
      <c r="L49" s="23" t="str">
        <f t="shared" si="6"/>
        <v/>
      </c>
      <c r="M49" s="23" t="s">
        <v>44</v>
      </c>
      <c r="N49" s="24" t="str">
        <f t="shared" si="7"/>
        <v/>
      </c>
      <c r="O49" s="24"/>
      <c r="P49" s="24" t="str">
        <f t="shared" si="8"/>
        <v/>
      </c>
      <c r="Q49" s="25"/>
      <c r="R49" s="17"/>
      <c r="S49" s="17"/>
      <c r="T49" s="17"/>
      <c r="U49" s="17"/>
      <c r="V49" s="17"/>
      <c r="W49" s="17"/>
      <c r="X49" s="17"/>
      <c r="Y49" s="17"/>
      <c r="Z49" s="17"/>
      <c r="AA49" s="17"/>
      <c r="AB49" s="17"/>
      <c r="AC49" s="17"/>
      <c r="AD49" s="17"/>
      <c r="AE49" s="17"/>
      <c r="AF49" s="17"/>
      <c r="AG49" s="17"/>
      <c r="AH49" s="17"/>
      <c r="AI49" s="17"/>
      <c r="AJ49" s="17"/>
      <c r="AK49" s="17"/>
    </row>
    <row r="50" spans="1:37" ht="15.75" customHeight="1" x14ac:dyDescent="0.3">
      <c r="A50" s="18" t="str">
        <f t="shared" si="0"/>
        <v/>
      </c>
      <c r="B50" s="19"/>
      <c r="C50" s="19"/>
      <c r="D50" s="160" t="s">
        <v>64</v>
      </c>
      <c r="E50" s="21"/>
      <c r="F50" s="22"/>
      <c r="G50" s="21"/>
      <c r="H50" s="19"/>
      <c r="I50" s="23" t="s">
        <v>44</v>
      </c>
      <c r="J50" s="23" t="s">
        <v>44</v>
      </c>
      <c r="K50" s="23" t="str">
        <f t="shared" si="15"/>
        <v/>
      </c>
      <c r="L50" s="23" t="str">
        <f t="shared" si="6"/>
        <v/>
      </c>
      <c r="M50" s="23" t="s">
        <v>44</v>
      </c>
      <c r="N50" s="24" t="str">
        <f t="shared" si="7"/>
        <v/>
      </c>
      <c r="O50" s="24"/>
      <c r="P50" s="24" t="str">
        <f t="shared" si="8"/>
        <v/>
      </c>
      <c r="Q50" s="25"/>
      <c r="R50" s="17"/>
      <c r="S50" s="17"/>
      <c r="T50" s="17"/>
      <c r="U50" s="17"/>
      <c r="V50" s="17"/>
      <c r="W50" s="17"/>
      <c r="X50" s="17"/>
      <c r="Y50" s="17"/>
      <c r="Z50" s="17"/>
      <c r="AA50" s="17"/>
      <c r="AB50" s="17"/>
      <c r="AC50" s="17"/>
      <c r="AD50" s="17"/>
      <c r="AE50" s="17"/>
      <c r="AF50" s="17"/>
      <c r="AG50" s="17"/>
      <c r="AH50" s="17"/>
      <c r="AI50" s="17"/>
      <c r="AJ50" s="17"/>
      <c r="AK50" s="17"/>
    </row>
    <row r="51" spans="1:37" ht="15.75" customHeight="1" x14ac:dyDescent="0.3">
      <c r="A51" s="18">
        <f t="shared" si="0"/>
        <v>23</v>
      </c>
      <c r="B51" s="19" t="s">
        <v>51</v>
      </c>
      <c r="C51" s="19"/>
      <c r="D51" s="20" t="s">
        <v>65</v>
      </c>
      <c r="E51" s="21">
        <v>176</v>
      </c>
      <c r="F51" s="22">
        <v>0</v>
      </c>
      <c r="G51" s="21">
        <f t="shared" ref="G51:G53" si="16">E51+(E51*F51)</f>
        <v>176</v>
      </c>
      <c r="H51" s="19" t="s">
        <v>66</v>
      </c>
      <c r="I51" s="23">
        <v>70</v>
      </c>
      <c r="J51" s="23">
        <v>267.82608695652175</v>
      </c>
      <c r="K51" s="23">
        <f t="shared" si="15"/>
        <v>2.7898550724637681</v>
      </c>
      <c r="L51" s="23">
        <f t="shared" si="6"/>
        <v>46</v>
      </c>
      <c r="M51" s="23">
        <v>105</v>
      </c>
      <c r="N51" s="24">
        <f t="shared" si="7"/>
        <v>12320</v>
      </c>
      <c r="O51" s="24">
        <f t="shared" ref="O51:O53" si="17">M51*G51</f>
        <v>18480</v>
      </c>
      <c r="P51" s="24">
        <f t="shared" si="8"/>
        <v>30800</v>
      </c>
      <c r="Q51" s="25"/>
      <c r="R51" s="17"/>
      <c r="S51" s="17"/>
      <c r="T51" s="17"/>
      <c r="U51" s="17"/>
      <c r="V51" s="17"/>
      <c r="W51" s="17"/>
      <c r="X51" s="17"/>
      <c r="Y51" s="17"/>
      <c r="Z51" s="17"/>
      <c r="AA51" s="17"/>
      <c r="AB51" s="17"/>
      <c r="AC51" s="17"/>
      <c r="AD51" s="17"/>
      <c r="AE51" s="17"/>
      <c r="AF51" s="17"/>
      <c r="AG51" s="17"/>
      <c r="AH51" s="17"/>
      <c r="AI51" s="17"/>
      <c r="AJ51" s="17"/>
      <c r="AK51" s="17"/>
    </row>
    <row r="52" spans="1:37" ht="15.75" customHeight="1" x14ac:dyDescent="0.3">
      <c r="A52" s="18">
        <f t="shared" si="0"/>
        <v>24</v>
      </c>
      <c r="B52" s="19" t="s">
        <v>51</v>
      </c>
      <c r="C52" s="19"/>
      <c r="D52" s="20" t="s">
        <v>67</v>
      </c>
      <c r="E52" s="21">
        <v>96</v>
      </c>
      <c r="F52" s="22">
        <v>0</v>
      </c>
      <c r="G52" s="21">
        <f t="shared" si="16"/>
        <v>96</v>
      </c>
      <c r="H52" s="19" t="s">
        <v>66</v>
      </c>
      <c r="I52" s="23">
        <v>74</v>
      </c>
      <c r="J52" s="23">
        <v>154.43478260869566</v>
      </c>
      <c r="K52" s="23">
        <f t="shared" si="15"/>
        <v>1.6086956521739131</v>
      </c>
      <c r="L52" s="23">
        <f t="shared" si="6"/>
        <v>46</v>
      </c>
      <c r="M52" s="23">
        <v>111</v>
      </c>
      <c r="N52" s="24">
        <f t="shared" si="7"/>
        <v>7104</v>
      </c>
      <c r="O52" s="24">
        <f t="shared" si="17"/>
        <v>10656</v>
      </c>
      <c r="P52" s="24">
        <f t="shared" si="8"/>
        <v>17760</v>
      </c>
      <c r="Q52" s="25"/>
      <c r="R52" s="17"/>
      <c r="S52" s="17"/>
      <c r="T52" s="17"/>
      <c r="U52" s="17"/>
      <c r="V52" s="17"/>
      <c r="W52" s="17"/>
      <c r="X52" s="17"/>
      <c r="Y52" s="17"/>
      <c r="Z52" s="17"/>
      <c r="AA52" s="17"/>
      <c r="AB52" s="17"/>
      <c r="AC52" s="17"/>
      <c r="AD52" s="17"/>
      <c r="AE52" s="17"/>
      <c r="AF52" s="17"/>
      <c r="AG52" s="17"/>
      <c r="AH52" s="17"/>
      <c r="AI52" s="17"/>
      <c r="AJ52" s="17"/>
      <c r="AK52" s="17"/>
    </row>
    <row r="53" spans="1:37" ht="15.75" customHeight="1" x14ac:dyDescent="0.3">
      <c r="A53" s="18">
        <f t="shared" si="0"/>
        <v>25</v>
      </c>
      <c r="B53" s="19" t="s">
        <v>51</v>
      </c>
      <c r="C53" s="19"/>
      <c r="D53" s="20" t="s">
        <v>68</v>
      </c>
      <c r="E53" s="21">
        <v>14</v>
      </c>
      <c r="F53" s="22">
        <v>0</v>
      </c>
      <c r="G53" s="21">
        <f t="shared" si="16"/>
        <v>14</v>
      </c>
      <c r="H53" s="19" t="s">
        <v>66</v>
      </c>
      <c r="I53" s="23">
        <v>100</v>
      </c>
      <c r="J53" s="23">
        <v>30.434782608695652</v>
      </c>
      <c r="K53" s="23">
        <f t="shared" si="15"/>
        <v>0.3170289855072464</v>
      </c>
      <c r="L53" s="23">
        <f t="shared" si="6"/>
        <v>46</v>
      </c>
      <c r="M53" s="23">
        <v>150</v>
      </c>
      <c r="N53" s="24">
        <f t="shared" si="7"/>
        <v>1400</v>
      </c>
      <c r="O53" s="24">
        <f t="shared" si="17"/>
        <v>2100</v>
      </c>
      <c r="P53" s="24">
        <f t="shared" si="8"/>
        <v>3500</v>
      </c>
      <c r="Q53" s="25"/>
      <c r="R53" s="17"/>
      <c r="S53" s="17"/>
      <c r="T53" s="17"/>
      <c r="U53" s="17"/>
      <c r="V53" s="17"/>
      <c r="W53" s="17"/>
      <c r="X53" s="17"/>
      <c r="Y53" s="17"/>
      <c r="Z53" s="17"/>
      <c r="AA53" s="17"/>
      <c r="AB53" s="17"/>
      <c r="AC53" s="17"/>
      <c r="AD53" s="17"/>
      <c r="AE53" s="17"/>
      <c r="AF53" s="17"/>
      <c r="AG53" s="17"/>
      <c r="AH53" s="17"/>
      <c r="AI53" s="17"/>
      <c r="AJ53" s="17"/>
      <c r="AK53" s="17"/>
    </row>
    <row r="54" spans="1:37" ht="15.75" customHeight="1" x14ac:dyDescent="0.3">
      <c r="A54" s="18" t="str">
        <f t="shared" si="0"/>
        <v/>
      </c>
      <c r="B54" s="19"/>
      <c r="C54" s="19"/>
      <c r="D54" s="20"/>
      <c r="E54" s="21"/>
      <c r="F54" s="22"/>
      <c r="G54" s="21"/>
      <c r="H54" s="19"/>
      <c r="I54" s="23" t="s">
        <v>44</v>
      </c>
      <c r="J54" s="23" t="s">
        <v>44</v>
      </c>
      <c r="K54" s="23" t="str">
        <f t="shared" si="15"/>
        <v/>
      </c>
      <c r="L54" s="23" t="str">
        <f t="shared" si="6"/>
        <v/>
      </c>
      <c r="M54" s="23" t="s">
        <v>44</v>
      </c>
      <c r="N54" s="24" t="str">
        <f t="shared" si="7"/>
        <v/>
      </c>
      <c r="O54" s="24"/>
      <c r="P54" s="24" t="str">
        <f t="shared" si="8"/>
        <v/>
      </c>
      <c r="Q54" s="25"/>
      <c r="R54" s="17"/>
      <c r="S54" s="17"/>
      <c r="T54" s="17"/>
      <c r="U54" s="17"/>
      <c r="V54" s="17"/>
      <c r="W54" s="17"/>
      <c r="X54" s="17"/>
      <c r="Y54" s="17"/>
      <c r="Z54" s="17"/>
      <c r="AA54" s="17"/>
      <c r="AB54" s="17"/>
      <c r="AC54" s="17"/>
      <c r="AD54" s="17"/>
      <c r="AE54" s="17"/>
      <c r="AF54" s="17"/>
      <c r="AG54" s="17"/>
      <c r="AH54" s="17"/>
      <c r="AI54" s="17"/>
      <c r="AJ54" s="17"/>
      <c r="AK54" s="17"/>
    </row>
    <row r="55" spans="1:37" ht="15.75" customHeight="1" x14ac:dyDescent="0.3">
      <c r="A55" s="18" t="str">
        <f t="shared" si="0"/>
        <v/>
      </c>
      <c r="B55" s="19"/>
      <c r="C55" s="19"/>
      <c r="D55" s="160" t="s">
        <v>69</v>
      </c>
      <c r="E55" s="21"/>
      <c r="F55" s="22"/>
      <c r="G55" s="21"/>
      <c r="H55" s="19"/>
      <c r="I55" s="23" t="s">
        <v>44</v>
      </c>
      <c r="J55" s="23" t="s">
        <v>44</v>
      </c>
      <c r="K55" s="23" t="str">
        <f t="shared" si="15"/>
        <v/>
      </c>
      <c r="L55" s="23" t="str">
        <f t="shared" si="6"/>
        <v/>
      </c>
      <c r="M55" s="23" t="s">
        <v>44</v>
      </c>
      <c r="N55" s="24" t="str">
        <f t="shared" si="7"/>
        <v/>
      </c>
      <c r="O55" s="24"/>
      <c r="P55" s="24" t="str">
        <f t="shared" si="8"/>
        <v/>
      </c>
      <c r="Q55" s="25"/>
      <c r="R55" s="17"/>
      <c r="S55" s="17"/>
      <c r="T55" s="17"/>
      <c r="U55" s="17"/>
      <c r="V55" s="17"/>
      <c r="W55" s="17"/>
      <c r="X55" s="17"/>
      <c r="Y55" s="17"/>
      <c r="Z55" s="17"/>
      <c r="AA55" s="17"/>
      <c r="AB55" s="17"/>
      <c r="AC55" s="17"/>
      <c r="AD55" s="17"/>
      <c r="AE55" s="17"/>
      <c r="AF55" s="17"/>
      <c r="AG55" s="17"/>
      <c r="AH55" s="17"/>
      <c r="AI55" s="17"/>
      <c r="AJ55" s="17"/>
      <c r="AK55" s="17"/>
    </row>
    <row r="56" spans="1:37" ht="15.75" customHeight="1" x14ac:dyDescent="0.3">
      <c r="A56" s="18">
        <f t="shared" si="0"/>
        <v>26</v>
      </c>
      <c r="B56" s="19" t="s">
        <v>51</v>
      </c>
      <c r="C56" s="19"/>
      <c r="D56" s="20" t="s">
        <v>70</v>
      </c>
      <c r="E56" s="21">
        <v>324.67</v>
      </c>
      <c r="F56" s="22">
        <v>0.1</v>
      </c>
      <c r="G56" s="21">
        <f t="shared" ref="G56:G60" si="18">E56+(E56*F56)</f>
        <v>357.137</v>
      </c>
      <c r="H56" s="19" t="s">
        <v>43</v>
      </c>
      <c r="I56" s="23">
        <v>22</v>
      </c>
      <c r="J56" s="23">
        <v>170.80465217391304</v>
      </c>
      <c r="K56" s="23">
        <f t="shared" si="15"/>
        <v>1.7792151268115941</v>
      </c>
      <c r="L56" s="23">
        <f t="shared" si="6"/>
        <v>46</v>
      </c>
      <c r="M56" s="23">
        <v>33</v>
      </c>
      <c r="N56" s="24">
        <f t="shared" si="7"/>
        <v>7857.0140000000001</v>
      </c>
      <c r="O56" s="24">
        <f t="shared" ref="O56:O60" si="19">M56*G56</f>
        <v>11785.521000000001</v>
      </c>
      <c r="P56" s="24">
        <f t="shared" si="8"/>
        <v>19642.535</v>
      </c>
      <c r="Q56" s="25"/>
      <c r="R56" s="17"/>
      <c r="S56" s="17"/>
      <c r="T56" s="17"/>
      <c r="U56" s="17"/>
      <c r="V56" s="17"/>
      <c r="W56" s="17"/>
      <c r="X56" s="17"/>
      <c r="Y56" s="17"/>
      <c r="Z56" s="17"/>
      <c r="AA56" s="17"/>
      <c r="AB56" s="17"/>
      <c r="AC56" s="17"/>
      <c r="AD56" s="17"/>
      <c r="AE56" s="17"/>
      <c r="AF56" s="17"/>
      <c r="AG56" s="17"/>
      <c r="AH56" s="17"/>
      <c r="AI56" s="17"/>
      <c r="AJ56" s="17"/>
      <c r="AK56" s="17"/>
    </row>
    <row r="57" spans="1:37" ht="15.75" customHeight="1" x14ac:dyDescent="0.3">
      <c r="A57" s="18">
        <f t="shared" si="0"/>
        <v>27</v>
      </c>
      <c r="B57" s="19" t="s">
        <v>51</v>
      </c>
      <c r="C57" s="19"/>
      <c r="D57" s="20" t="s">
        <v>71</v>
      </c>
      <c r="E57" s="21">
        <v>214.09</v>
      </c>
      <c r="F57" s="22">
        <v>0.1</v>
      </c>
      <c r="G57" s="21">
        <f t="shared" si="18"/>
        <v>235.499</v>
      </c>
      <c r="H57" s="19" t="s">
        <v>43</v>
      </c>
      <c r="I57" s="23">
        <v>26</v>
      </c>
      <c r="J57" s="23">
        <v>133.10813043478262</v>
      </c>
      <c r="K57" s="23">
        <f t="shared" si="15"/>
        <v>1.386543025362319</v>
      </c>
      <c r="L57" s="23">
        <f t="shared" si="6"/>
        <v>46</v>
      </c>
      <c r="M57" s="23">
        <v>39</v>
      </c>
      <c r="N57" s="24">
        <f t="shared" si="7"/>
        <v>6122.9740000000011</v>
      </c>
      <c r="O57" s="24">
        <f t="shared" si="19"/>
        <v>9184.4609999999993</v>
      </c>
      <c r="P57" s="24">
        <f t="shared" si="8"/>
        <v>15307.435000000001</v>
      </c>
      <c r="Q57" s="25"/>
      <c r="R57" s="17"/>
      <c r="S57" s="17"/>
      <c r="T57" s="17"/>
      <c r="U57" s="17"/>
      <c r="V57" s="17"/>
      <c r="W57" s="17"/>
      <c r="X57" s="17"/>
      <c r="Y57" s="17"/>
      <c r="Z57" s="17"/>
      <c r="AA57" s="17"/>
      <c r="AB57" s="17"/>
      <c r="AC57" s="17"/>
      <c r="AD57" s="17"/>
      <c r="AE57" s="17"/>
      <c r="AF57" s="17"/>
      <c r="AG57" s="17"/>
      <c r="AH57" s="17"/>
      <c r="AI57" s="17"/>
      <c r="AJ57" s="17"/>
      <c r="AK57" s="17"/>
    </row>
    <row r="58" spans="1:37" ht="15.75" customHeight="1" x14ac:dyDescent="0.3">
      <c r="A58" s="18">
        <f t="shared" si="0"/>
        <v>28</v>
      </c>
      <c r="B58" s="19" t="s">
        <v>51</v>
      </c>
      <c r="C58" s="19"/>
      <c r="D58" s="20" t="s">
        <v>72</v>
      </c>
      <c r="E58" s="21">
        <v>156.53</v>
      </c>
      <c r="F58" s="22">
        <v>0.1</v>
      </c>
      <c r="G58" s="21">
        <f t="shared" si="18"/>
        <v>172.18299999999999</v>
      </c>
      <c r="H58" s="19" t="s">
        <v>43</v>
      </c>
      <c r="I58" s="23">
        <v>26</v>
      </c>
      <c r="J58" s="23">
        <v>97.320826086956515</v>
      </c>
      <c r="K58" s="23">
        <f t="shared" si="15"/>
        <v>1.0137586050724636</v>
      </c>
      <c r="L58" s="23">
        <f t="shared" si="6"/>
        <v>46</v>
      </c>
      <c r="M58" s="23">
        <v>39</v>
      </c>
      <c r="N58" s="24">
        <f t="shared" si="7"/>
        <v>4476.7579999999998</v>
      </c>
      <c r="O58" s="24">
        <f t="shared" si="19"/>
        <v>6715.1369999999997</v>
      </c>
      <c r="P58" s="24">
        <f t="shared" si="8"/>
        <v>11191.895</v>
      </c>
      <c r="Q58" s="25"/>
      <c r="R58" s="17"/>
      <c r="S58" s="17"/>
      <c r="T58" s="17"/>
      <c r="U58" s="17"/>
      <c r="V58" s="17"/>
      <c r="W58" s="17"/>
      <c r="X58" s="17"/>
      <c r="Y58" s="17"/>
      <c r="Z58" s="17"/>
      <c r="AA58" s="17"/>
      <c r="AB58" s="17"/>
      <c r="AC58" s="17"/>
      <c r="AD58" s="17"/>
      <c r="AE58" s="17"/>
      <c r="AF58" s="17"/>
      <c r="AG58" s="17"/>
      <c r="AH58" s="17"/>
      <c r="AI58" s="17"/>
      <c r="AJ58" s="17"/>
      <c r="AK58" s="17"/>
    </row>
    <row r="59" spans="1:37" ht="15.75" customHeight="1" x14ac:dyDescent="0.3">
      <c r="A59" s="18">
        <f t="shared" si="0"/>
        <v>29</v>
      </c>
      <c r="B59" s="19" t="s">
        <v>51</v>
      </c>
      <c r="C59" s="19"/>
      <c r="D59" s="20" t="s">
        <v>73</v>
      </c>
      <c r="E59" s="21">
        <v>936.09</v>
      </c>
      <c r="F59" s="22">
        <v>0.1</v>
      </c>
      <c r="G59" s="21">
        <f t="shared" si="18"/>
        <v>1029.6990000000001</v>
      </c>
      <c r="H59" s="19" t="s">
        <v>43</v>
      </c>
      <c r="I59" s="23">
        <v>26</v>
      </c>
      <c r="J59" s="23">
        <v>582.0037826086957</v>
      </c>
      <c r="K59" s="23">
        <f t="shared" si="15"/>
        <v>6.0625394021739138</v>
      </c>
      <c r="L59" s="23">
        <f t="shared" si="6"/>
        <v>46</v>
      </c>
      <c r="M59" s="23">
        <v>39</v>
      </c>
      <c r="N59" s="24">
        <f t="shared" si="7"/>
        <v>26772.174000000003</v>
      </c>
      <c r="O59" s="24">
        <f t="shared" si="19"/>
        <v>40158.261000000006</v>
      </c>
      <c r="P59" s="24">
        <f t="shared" si="8"/>
        <v>66930.435000000012</v>
      </c>
      <c r="Q59" s="25"/>
      <c r="R59" s="17"/>
      <c r="S59" s="17"/>
      <c r="T59" s="17"/>
      <c r="U59" s="17"/>
      <c r="V59" s="17"/>
      <c r="W59" s="17"/>
      <c r="X59" s="17"/>
      <c r="Y59" s="17"/>
      <c r="Z59" s="17"/>
      <c r="AA59" s="17"/>
      <c r="AB59" s="17"/>
      <c r="AC59" s="17"/>
      <c r="AD59" s="17"/>
      <c r="AE59" s="17"/>
      <c r="AF59" s="17"/>
      <c r="AG59" s="17"/>
      <c r="AH59" s="17"/>
      <c r="AI59" s="17"/>
      <c r="AJ59" s="17"/>
      <c r="AK59" s="17"/>
    </row>
    <row r="60" spans="1:37" ht="15.75" customHeight="1" x14ac:dyDescent="0.3">
      <c r="A60" s="18">
        <f t="shared" si="0"/>
        <v>30</v>
      </c>
      <c r="B60" s="19" t="s">
        <v>74</v>
      </c>
      <c r="C60" s="19"/>
      <c r="D60" s="20" t="s">
        <v>75</v>
      </c>
      <c r="E60" s="21">
        <v>438.97</v>
      </c>
      <c r="F60" s="22">
        <v>0.1</v>
      </c>
      <c r="G60" s="21">
        <f t="shared" si="18"/>
        <v>482.86700000000002</v>
      </c>
      <c r="H60" s="19" t="s">
        <v>43</v>
      </c>
      <c r="I60" s="23">
        <v>28</v>
      </c>
      <c r="J60" s="23">
        <v>293.91904347826085</v>
      </c>
      <c r="K60" s="23">
        <f t="shared" si="15"/>
        <v>3.0616567028985506</v>
      </c>
      <c r="L60" s="23">
        <f t="shared" si="6"/>
        <v>46</v>
      </c>
      <c r="M60" s="23">
        <v>42</v>
      </c>
      <c r="N60" s="24">
        <f t="shared" si="7"/>
        <v>13520.275999999998</v>
      </c>
      <c r="O60" s="24">
        <f t="shared" si="19"/>
        <v>20280.414000000001</v>
      </c>
      <c r="P60" s="24">
        <f t="shared" si="8"/>
        <v>33800.69</v>
      </c>
      <c r="Q60" s="25"/>
      <c r="R60" s="17"/>
      <c r="S60" s="17"/>
      <c r="T60" s="17"/>
      <c r="U60" s="17"/>
      <c r="V60" s="17"/>
      <c r="W60" s="17"/>
      <c r="X60" s="17"/>
      <c r="Y60" s="17"/>
      <c r="Z60" s="17"/>
      <c r="AA60" s="17"/>
      <c r="AB60" s="17"/>
      <c r="AC60" s="17"/>
      <c r="AD60" s="17"/>
      <c r="AE60" s="17"/>
      <c r="AF60" s="17"/>
      <c r="AG60" s="17"/>
      <c r="AH60" s="17"/>
      <c r="AI60" s="17"/>
      <c r="AJ60" s="17"/>
      <c r="AK60" s="17"/>
    </row>
    <row r="61" spans="1:37" ht="15.75" customHeight="1" x14ac:dyDescent="0.3">
      <c r="A61" s="34" t="str">
        <f t="shared" si="0"/>
        <v/>
      </c>
      <c r="B61" s="19"/>
      <c r="C61" s="19"/>
      <c r="D61" s="20"/>
      <c r="E61" s="21"/>
      <c r="F61" s="22"/>
      <c r="G61" s="21"/>
      <c r="H61" s="19"/>
      <c r="I61" s="23" t="s">
        <v>44</v>
      </c>
      <c r="J61" s="23" t="s">
        <v>44</v>
      </c>
      <c r="K61" s="23" t="str">
        <f t="shared" ref="K61:K62" si="20">IF(H61&lt;&gt;"",(J61/8/$K$26),"")</f>
        <v/>
      </c>
      <c r="L61" s="23" t="str">
        <f t="shared" si="6"/>
        <v/>
      </c>
      <c r="M61" s="23" t="s">
        <v>44</v>
      </c>
      <c r="N61" s="24" t="str">
        <f t="shared" si="7"/>
        <v/>
      </c>
      <c r="O61" s="24"/>
      <c r="P61" s="24" t="str">
        <f t="shared" si="8"/>
        <v/>
      </c>
      <c r="Q61" s="25"/>
      <c r="R61" s="17"/>
      <c r="S61" s="17"/>
      <c r="T61" s="17"/>
      <c r="U61" s="17"/>
      <c r="V61" s="17"/>
      <c r="W61" s="17"/>
      <c r="X61" s="17"/>
      <c r="Y61" s="17"/>
      <c r="Z61" s="17"/>
      <c r="AA61" s="17"/>
      <c r="AB61" s="17"/>
      <c r="AC61" s="17"/>
      <c r="AD61" s="17"/>
      <c r="AE61" s="17"/>
      <c r="AF61" s="17"/>
      <c r="AG61" s="17"/>
      <c r="AH61" s="17"/>
      <c r="AI61" s="17"/>
      <c r="AJ61" s="17"/>
      <c r="AK61" s="17"/>
    </row>
    <row r="62" spans="1:37" ht="15.75" customHeight="1" x14ac:dyDescent="0.3">
      <c r="A62" s="34" t="str">
        <f t="shared" si="0"/>
        <v/>
      </c>
      <c r="B62" s="19"/>
      <c r="C62" s="19"/>
      <c r="D62" s="26" t="s">
        <v>35</v>
      </c>
      <c r="E62" s="27"/>
      <c r="F62" s="28"/>
      <c r="G62" s="27"/>
      <c r="H62" s="29"/>
      <c r="I62" s="30" t="s">
        <v>44</v>
      </c>
      <c r="J62" s="30" t="s">
        <v>44</v>
      </c>
      <c r="K62" s="30" t="str">
        <f t="shared" si="20"/>
        <v/>
      </c>
      <c r="L62" s="30" t="str">
        <f t="shared" si="6"/>
        <v/>
      </c>
      <c r="M62" s="30" t="s">
        <v>44</v>
      </c>
      <c r="N62" s="31" t="str">
        <f t="shared" si="7"/>
        <v/>
      </c>
      <c r="O62" s="31"/>
      <c r="P62" s="32" t="str">
        <f t="shared" si="8"/>
        <v/>
      </c>
      <c r="Q62" s="33">
        <f>SUM(P47:P61)</f>
        <v>562106.57000000007</v>
      </c>
      <c r="R62" s="17"/>
      <c r="S62" s="17"/>
      <c r="T62" s="17"/>
      <c r="U62" s="17"/>
      <c r="V62" s="17"/>
      <c r="W62" s="17"/>
      <c r="X62" s="17"/>
      <c r="Y62" s="17"/>
      <c r="Z62" s="17"/>
      <c r="AA62" s="17"/>
      <c r="AB62" s="17"/>
      <c r="AC62" s="17"/>
      <c r="AD62" s="17"/>
      <c r="AE62" s="17"/>
      <c r="AF62" s="17"/>
      <c r="AG62" s="17"/>
      <c r="AH62" s="17"/>
      <c r="AI62" s="17"/>
      <c r="AJ62" s="17"/>
      <c r="AK62" s="17"/>
    </row>
    <row r="63" spans="1:37" s="158" customFormat="1" ht="15.75" customHeight="1" x14ac:dyDescent="0.3">
      <c r="A63" s="154" t="str">
        <f t="shared" si="0"/>
        <v/>
      </c>
      <c r="B63" s="155"/>
      <c r="C63" s="155" t="s">
        <v>76</v>
      </c>
      <c r="D63" s="155" t="s">
        <v>77</v>
      </c>
      <c r="E63" s="155"/>
      <c r="F63" s="155"/>
      <c r="G63" s="155"/>
      <c r="H63" s="155"/>
      <c r="I63" s="155" t="s">
        <v>44</v>
      </c>
      <c r="J63" s="155" t="s">
        <v>44</v>
      </c>
      <c r="K63" s="159">
        <v>5</v>
      </c>
      <c r="L63" s="155" t="str">
        <f t="shared" si="6"/>
        <v/>
      </c>
      <c r="M63" s="155" t="s">
        <v>44</v>
      </c>
      <c r="N63" s="155" t="str">
        <f t="shared" si="7"/>
        <v/>
      </c>
      <c r="O63" s="155"/>
      <c r="P63" s="155" t="str">
        <f t="shared" si="8"/>
        <v/>
      </c>
      <c r="Q63" s="157"/>
    </row>
    <row r="64" spans="1:37" ht="15.75" customHeight="1" x14ac:dyDescent="0.3">
      <c r="A64" s="18" t="str">
        <f t="shared" si="0"/>
        <v/>
      </c>
      <c r="B64" s="19"/>
      <c r="C64" s="19"/>
      <c r="D64" s="160" t="s">
        <v>78</v>
      </c>
      <c r="E64" s="21"/>
      <c r="F64" s="22"/>
      <c r="G64" s="21"/>
      <c r="H64" s="19"/>
      <c r="I64" s="23" t="s">
        <v>44</v>
      </c>
      <c r="J64" s="23" t="s">
        <v>44</v>
      </c>
      <c r="K64" s="23" t="str">
        <f>IF(H64&lt;&gt;"",(J64/8/$K$26),"")</f>
        <v/>
      </c>
      <c r="L64" s="23" t="str">
        <f t="shared" si="6"/>
        <v/>
      </c>
      <c r="M64" s="23" t="s">
        <v>44</v>
      </c>
      <c r="N64" s="24" t="str">
        <f t="shared" si="7"/>
        <v/>
      </c>
      <c r="O64" s="24"/>
      <c r="P64" s="24" t="str">
        <f t="shared" si="8"/>
        <v/>
      </c>
      <c r="Q64" s="25"/>
      <c r="R64" s="17"/>
      <c r="S64" s="17"/>
      <c r="T64" s="17"/>
      <c r="U64" s="17"/>
      <c r="V64" s="17"/>
      <c r="W64" s="17"/>
      <c r="X64" s="17"/>
      <c r="Y64" s="17"/>
      <c r="Z64" s="17"/>
      <c r="AA64" s="17"/>
      <c r="AB64" s="17"/>
      <c r="AC64" s="17"/>
      <c r="AD64" s="17"/>
      <c r="AE64" s="17"/>
      <c r="AF64" s="17"/>
      <c r="AG64" s="17"/>
      <c r="AH64" s="17"/>
      <c r="AI64" s="17"/>
      <c r="AJ64" s="17"/>
      <c r="AK64" s="17"/>
    </row>
    <row r="65" spans="1:37" ht="15.75" customHeight="1" x14ac:dyDescent="0.3">
      <c r="A65" s="18">
        <f t="shared" si="0"/>
        <v>31</v>
      </c>
      <c r="B65" s="19" t="s">
        <v>51</v>
      </c>
      <c r="C65" s="19"/>
      <c r="D65" s="20" t="s">
        <v>79</v>
      </c>
      <c r="E65" s="21">
        <v>181.29</v>
      </c>
      <c r="F65" s="22">
        <v>0.1</v>
      </c>
      <c r="G65" s="21">
        <f t="shared" ref="G65:G70" si="21">E65+(E65*F65)</f>
        <v>199.41899999999998</v>
      </c>
      <c r="H65" s="19" t="s">
        <v>43</v>
      </c>
      <c r="I65" s="23">
        <v>54</v>
      </c>
      <c r="J65" s="23">
        <v>234.10056521739128</v>
      </c>
      <c r="K65" s="23">
        <f t="shared" ref="K65:K72" si="22">IF(H65&lt;&gt;"",(J65/8/$K$63),"")</f>
        <v>5.8525141304347823</v>
      </c>
      <c r="L65" s="23">
        <f t="shared" si="6"/>
        <v>46</v>
      </c>
      <c r="M65" s="23">
        <v>81</v>
      </c>
      <c r="N65" s="24">
        <f t="shared" si="7"/>
        <v>10768.625999999998</v>
      </c>
      <c r="O65" s="24">
        <f t="shared" ref="O65:O70" si="23">M65*G65</f>
        <v>16152.938999999998</v>
      </c>
      <c r="P65" s="24">
        <f t="shared" si="8"/>
        <v>26921.564999999995</v>
      </c>
      <c r="Q65" s="25"/>
      <c r="R65" s="17"/>
      <c r="S65" s="17"/>
      <c r="T65" s="17"/>
      <c r="U65" s="17"/>
      <c r="V65" s="17"/>
      <c r="W65" s="17"/>
      <c r="X65" s="17"/>
      <c r="Y65" s="17"/>
      <c r="Z65" s="17"/>
      <c r="AA65" s="17"/>
      <c r="AB65" s="17"/>
      <c r="AC65" s="17"/>
      <c r="AD65" s="17"/>
      <c r="AE65" s="17"/>
      <c r="AF65" s="17"/>
      <c r="AG65" s="17"/>
      <c r="AH65" s="17"/>
      <c r="AI65" s="17"/>
      <c r="AJ65" s="17"/>
      <c r="AK65" s="17"/>
    </row>
    <row r="66" spans="1:37" ht="15.75" customHeight="1" x14ac:dyDescent="0.3">
      <c r="A66" s="18">
        <f t="shared" si="0"/>
        <v>32</v>
      </c>
      <c r="B66" s="19" t="s">
        <v>51</v>
      </c>
      <c r="C66" s="19"/>
      <c r="D66" s="20" t="s">
        <v>80</v>
      </c>
      <c r="E66" s="21">
        <v>451.29</v>
      </c>
      <c r="F66" s="22">
        <v>0.1</v>
      </c>
      <c r="G66" s="21">
        <f t="shared" si="21"/>
        <v>496.41900000000004</v>
      </c>
      <c r="H66" s="19" t="s">
        <v>43</v>
      </c>
      <c r="I66" s="23">
        <v>50</v>
      </c>
      <c r="J66" s="23">
        <v>539.58586956521742</v>
      </c>
      <c r="K66" s="23">
        <f t="shared" si="22"/>
        <v>13.489646739130436</v>
      </c>
      <c r="L66" s="23">
        <f t="shared" si="6"/>
        <v>46</v>
      </c>
      <c r="M66" s="23">
        <v>75</v>
      </c>
      <c r="N66" s="24">
        <f t="shared" si="7"/>
        <v>24820.95</v>
      </c>
      <c r="O66" s="24">
        <f t="shared" si="23"/>
        <v>37231.425000000003</v>
      </c>
      <c r="P66" s="24">
        <f t="shared" si="8"/>
        <v>62052.375</v>
      </c>
      <c r="Q66" s="25"/>
      <c r="R66" s="17"/>
      <c r="S66" s="17"/>
      <c r="T66" s="17"/>
      <c r="U66" s="17"/>
      <c r="V66" s="17"/>
      <c r="W66" s="17"/>
      <c r="X66" s="17"/>
      <c r="Y66" s="17"/>
      <c r="Z66" s="17"/>
      <c r="AA66" s="17"/>
      <c r="AB66" s="17"/>
      <c r="AC66" s="17"/>
      <c r="AD66" s="17"/>
      <c r="AE66" s="17"/>
      <c r="AF66" s="17"/>
      <c r="AG66" s="17"/>
      <c r="AH66" s="17"/>
      <c r="AI66" s="17"/>
      <c r="AJ66" s="17"/>
      <c r="AK66" s="17"/>
    </row>
    <row r="67" spans="1:37" ht="15.75" customHeight="1" x14ac:dyDescent="0.3">
      <c r="A67" s="18">
        <f t="shared" si="0"/>
        <v>33</v>
      </c>
      <c r="B67" s="19" t="s">
        <v>51</v>
      </c>
      <c r="C67" s="19"/>
      <c r="D67" s="20" t="s">
        <v>81</v>
      </c>
      <c r="E67" s="21">
        <v>3.24</v>
      </c>
      <c r="F67" s="22">
        <v>0.1</v>
      </c>
      <c r="G67" s="21">
        <f t="shared" si="21"/>
        <v>3.5640000000000001</v>
      </c>
      <c r="H67" s="19" t="s">
        <v>43</v>
      </c>
      <c r="I67" s="23">
        <v>58</v>
      </c>
      <c r="J67" s="23">
        <v>4.4937391304347827</v>
      </c>
      <c r="K67" s="23">
        <f t="shared" si="22"/>
        <v>0.11234347826086957</v>
      </c>
      <c r="L67" s="23">
        <f t="shared" si="6"/>
        <v>46</v>
      </c>
      <c r="M67" s="23">
        <v>87</v>
      </c>
      <c r="N67" s="24">
        <f t="shared" si="7"/>
        <v>206.71199999999999</v>
      </c>
      <c r="O67" s="24">
        <f t="shared" si="23"/>
        <v>310.06799999999998</v>
      </c>
      <c r="P67" s="24">
        <f t="shared" si="8"/>
        <v>516.78</v>
      </c>
      <c r="Q67" s="25"/>
      <c r="R67" s="17"/>
      <c r="S67" s="17"/>
      <c r="T67" s="17"/>
      <c r="U67" s="17"/>
      <c r="V67" s="17"/>
      <c r="W67" s="17"/>
      <c r="X67" s="17"/>
      <c r="Y67" s="17"/>
      <c r="Z67" s="17"/>
      <c r="AA67" s="17"/>
      <c r="AB67" s="17"/>
      <c r="AC67" s="17"/>
      <c r="AD67" s="17"/>
      <c r="AE67" s="17"/>
      <c r="AF67" s="17"/>
      <c r="AG67" s="17"/>
      <c r="AH67" s="17"/>
      <c r="AI67" s="17"/>
      <c r="AJ67" s="17"/>
      <c r="AK67" s="17"/>
    </row>
    <row r="68" spans="1:37" ht="15.75" customHeight="1" x14ac:dyDescent="0.3">
      <c r="A68" s="18">
        <f t="shared" si="0"/>
        <v>34</v>
      </c>
      <c r="B68" s="19" t="s">
        <v>51</v>
      </c>
      <c r="C68" s="19"/>
      <c r="D68" s="20" t="s">
        <v>82</v>
      </c>
      <c r="E68" s="21">
        <v>650.40000000000009</v>
      </c>
      <c r="F68" s="22">
        <v>0.1</v>
      </c>
      <c r="G68" s="21">
        <f t="shared" si="21"/>
        <v>715.44</v>
      </c>
      <c r="H68" s="19" t="s">
        <v>43</v>
      </c>
      <c r="I68" s="23">
        <v>90</v>
      </c>
      <c r="J68" s="23">
        <v>1399.7739130434784</v>
      </c>
      <c r="K68" s="23">
        <f t="shared" si="22"/>
        <v>34.994347826086958</v>
      </c>
      <c r="L68" s="23">
        <f t="shared" si="6"/>
        <v>46</v>
      </c>
      <c r="M68" s="23">
        <v>135</v>
      </c>
      <c r="N68" s="24">
        <f t="shared" si="7"/>
        <v>64389.600000000006</v>
      </c>
      <c r="O68" s="24">
        <f t="shared" si="23"/>
        <v>96584.400000000009</v>
      </c>
      <c r="P68" s="24">
        <f t="shared" si="8"/>
        <v>160974</v>
      </c>
      <c r="Q68" s="25"/>
      <c r="R68" s="17"/>
      <c r="S68" s="17"/>
      <c r="T68" s="17"/>
      <c r="U68" s="17"/>
      <c r="V68" s="17"/>
      <c r="W68" s="17"/>
      <c r="X68" s="17"/>
      <c r="Y68" s="17"/>
      <c r="Z68" s="17"/>
      <c r="AA68" s="17"/>
      <c r="AB68" s="17"/>
      <c r="AC68" s="17"/>
      <c r="AD68" s="17"/>
      <c r="AE68" s="17"/>
      <c r="AF68" s="17"/>
      <c r="AG68" s="17"/>
      <c r="AH68" s="17"/>
      <c r="AI68" s="17"/>
      <c r="AJ68" s="17"/>
      <c r="AK68" s="17"/>
    </row>
    <row r="69" spans="1:37" ht="15.75" customHeight="1" x14ac:dyDescent="0.3">
      <c r="A69" s="18">
        <f t="shared" si="0"/>
        <v>35</v>
      </c>
      <c r="B69" s="19" t="s">
        <v>51</v>
      </c>
      <c r="C69" s="19"/>
      <c r="D69" s="20" t="s">
        <v>83</v>
      </c>
      <c r="E69" s="21">
        <v>611.52</v>
      </c>
      <c r="F69" s="22">
        <v>0.1</v>
      </c>
      <c r="G69" s="21">
        <f t="shared" si="21"/>
        <v>672.67200000000003</v>
      </c>
      <c r="H69" s="19" t="s">
        <v>43</v>
      </c>
      <c r="I69" s="23">
        <v>80</v>
      </c>
      <c r="J69" s="23">
        <v>1169.8643478260869</v>
      </c>
      <c r="K69" s="23">
        <f t="shared" si="22"/>
        <v>29.246608695652174</v>
      </c>
      <c r="L69" s="23">
        <f t="shared" si="6"/>
        <v>46</v>
      </c>
      <c r="M69" s="23">
        <v>120</v>
      </c>
      <c r="N69" s="24">
        <f t="shared" si="7"/>
        <v>53813.760000000002</v>
      </c>
      <c r="O69" s="24">
        <f t="shared" si="23"/>
        <v>80720.639999999999</v>
      </c>
      <c r="P69" s="24">
        <f t="shared" si="8"/>
        <v>134534.39999999999</v>
      </c>
      <c r="Q69" s="25"/>
      <c r="R69" s="17"/>
      <c r="S69" s="17"/>
      <c r="T69" s="17"/>
      <c r="U69" s="17"/>
      <c r="V69" s="17"/>
      <c r="W69" s="17"/>
      <c r="X69" s="17"/>
      <c r="Y69" s="17"/>
      <c r="Z69" s="17"/>
      <c r="AA69" s="17"/>
      <c r="AB69" s="17"/>
      <c r="AC69" s="17"/>
      <c r="AD69" s="17"/>
      <c r="AE69" s="17"/>
      <c r="AF69" s="17"/>
      <c r="AG69" s="17"/>
      <c r="AH69" s="17"/>
      <c r="AI69" s="17"/>
      <c r="AJ69" s="17"/>
      <c r="AK69" s="17"/>
    </row>
    <row r="70" spans="1:37" ht="15.75" customHeight="1" x14ac:dyDescent="0.3">
      <c r="A70" s="18">
        <f t="shared" si="0"/>
        <v>36</v>
      </c>
      <c r="B70" s="19" t="s">
        <v>51</v>
      </c>
      <c r="C70" s="19"/>
      <c r="D70" s="20" t="s">
        <v>84</v>
      </c>
      <c r="E70" s="21">
        <v>76</v>
      </c>
      <c r="F70" s="22">
        <v>0</v>
      </c>
      <c r="G70" s="21">
        <f t="shared" si="21"/>
        <v>76</v>
      </c>
      <c r="H70" s="19" t="s">
        <v>41</v>
      </c>
      <c r="I70" s="23">
        <v>66</v>
      </c>
      <c r="J70" s="23">
        <v>109.04347826086956</v>
      </c>
      <c r="K70" s="23">
        <f t="shared" si="22"/>
        <v>2.7260869565217392</v>
      </c>
      <c r="L70" s="23">
        <f t="shared" si="6"/>
        <v>46</v>
      </c>
      <c r="M70" s="23">
        <v>99</v>
      </c>
      <c r="N70" s="24">
        <f t="shared" si="7"/>
        <v>5016</v>
      </c>
      <c r="O70" s="24">
        <f t="shared" si="23"/>
        <v>7524</v>
      </c>
      <c r="P70" s="24">
        <f t="shared" si="8"/>
        <v>12540</v>
      </c>
      <c r="Q70" s="25"/>
      <c r="R70" s="17"/>
      <c r="S70" s="17"/>
      <c r="T70" s="17"/>
      <c r="U70" s="17"/>
      <c r="V70" s="17"/>
      <c r="W70" s="17"/>
      <c r="X70" s="17"/>
      <c r="Y70" s="17"/>
      <c r="Z70" s="17"/>
      <c r="AA70" s="17"/>
      <c r="AB70" s="17"/>
      <c r="AC70" s="17"/>
      <c r="AD70" s="17"/>
      <c r="AE70" s="17"/>
      <c r="AF70" s="17"/>
      <c r="AG70" s="17"/>
      <c r="AH70" s="17"/>
      <c r="AI70" s="17"/>
      <c r="AJ70" s="17"/>
      <c r="AK70" s="17"/>
    </row>
    <row r="71" spans="1:37" ht="15.75" customHeight="1" x14ac:dyDescent="0.3">
      <c r="A71" s="18" t="str">
        <f t="shared" si="0"/>
        <v/>
      </c>
      <c r="B71" s="19"/>
      <c r="C71" s="19"/>
      <c r="D71" s="20"/>
      <c r="E71" s="21"/>
      <c r="F71" s="22"/>
      <c r="G71" s="21"/>
      <c r="H71" s="19"/>
      <c r="I71" s="23" t="s">
        <v>44</v>
      </c>
      <c r="J71" s="23" t="s">
        <v>44</v>
      </c>
      <c r="K71" s="23" t="str">
        <f t="shared" si="22"/>
        <v/>
      </c>
      <c r="L71" s="23" t="str">
        <f t="shared" si="6"/>
        <v/>
      </c>
      <c r="M71" s="23" t="s">
        <v>44</v>
      </c>
      <c r="N71" s="24" t="str">
        <f t="shared" si="7"/>
        <v/>
      </c>
      <c r="O71" s="24"/>
      <c r="P71" s="24" t="str">
        <f t="shared" si="8"/>
        <v/>
      </c>
      <c r="Q71" s="25"/>
      <c r="R71" s="17"/>
      <c r="S71" s="17"/>
      <c r="T71" s="17"/>
      <c r="U71" s="17"/>
      <c r="V71" s="17"/>
      <c r="W71" s="17"/>
      <c r="X71" s="17"/>
      <c r="Y71" s="17"/>
      <c r="Z71" s="17"/>
      <c r="AA71" s="17"/>
      <c r="AB71" s="17"/>
      <c r="AC71" s="17"/>
      <c r="AD71" s="17"/>
      <c r="AE71" s="17"/>
      <c r="AF71" s="17"/>
      <c r="AG71" s="17"/>
      <c r="AH71" s="17"/>
      <c r="AI71" s="17"/>
      <c r="AJ71" s="17"/>
      <c r="AK71" s="17"/>
    </row>
    <row r="72" spans="1:37" ht="15.75" customHeight="1" x14ac:dyDescent="0.3">
      <c r="A72" s="18">
        <f t="shared" si="0"/>
        <v>37</v>
      </c>
      <c r="B72" s="19"/>
      <c r="C72" s="19"/>
      <c r="D72" s="39" t="s">
        <v>85</v>
      </c>
      <c r="E72" s="21">
        <v>1</v>
      </c>
      <c r="F72" s="22">
        <v>0</v>
      </c>
      <c r="G72" s="21">
        <f>E72+(E72*F72)</f>
        <v>1</v>
      </c>
      <c r="H72" s="19" t="s">
        <v>20</v>
      </c>
      <c r="I72" s="23">
        <v>340</v>
      </c>
      <c r="J72" s="23">
        <v>7.3913043478260869</v>
      </c>
      <c r="K72" s="23">
        <f t="shared" si="22"/>
        <v>0.18478260869565216</v>
      </c>
      <c r="L72" s="23">
        <f t="shared" si="6"/>
        <v>46</v>
      </c>
      <c r="M72" s="23">
        <v>510</v>
      </c>
      <c r="N72" s="24">
        <f t="shared" si="7"/>
        <v>340</v>
      </c>
      <c r="O72" s="24">
        <f>M72*G72</f>
        <v>510</v>
      </c>
      <c r="P72" s="24">
        <f t="shared" si="8"/>
        <v>850</v>
      </c>
      <c r="Q72" s="25"/>
      <c r="R72" s="17"/>
      <c r="S72" s="17"/>
      <c r="T72" s="17"/>
      <c r="U72" s="17"/>
      <c r="V72" s="17"/>
      <c r="W72" s="17"/>
      <c r="X72" s="17"/>
      <c r="Y72" s="17"/>
      <c r="Z72" s="17"/>
      <c r="AA72" s="17"/>
      <c r="AB72" s="17"/>
      <c r="AC72" s="17"/>
      <c r="AD72" s="17"/>
      <c r="AE72" s="17"/>
      <c r="AF72" s="17"/>
      <c r="AG72" s="17"/>
      <c r="AH72" s="17"/>
      <c r="AI72" s="17"/>
      <c r="AJ72" s="17"/>
      <c r="AK72" s="17"/>
    </row>
    <row r="73" spans="1:37" ht="15.75" customHeight="1" x14ac:dyDescent="0.3">
      <c r="A73" s="34" t="str">
        <f t="shared" si="0"/>
        <v/>
      </c>
      <c r="B73" s="19"/>
      <c r="C73" s="19"/>
      <c r="D73" s="26" t="s">
        <v>35</v>
      </c>
      <c r="E73" s="27"/>
      <c r="F73" s="28"/>
      <c r="G73" s="27"/>
      <c r="H73" s="29"/>
      <c r="I73" s="30" t="s">
        <v>44</v>
      </c>
      <c r="J73" s="30" t="s">
        <v>44</v>
      </c>
      <c r="K73" s="30" t="str">
        <f>IF(H73&lt;&gt;"",(J73/8/$K$26),"")</f>
        <v/>
      </c>
      <c r="L73" s="30" t="str">
        <f t="shared" si="6"/>
        <v/>
      </c>
      <c r="M73" s="30" t="s">
        <v>44</v>
      </c>
      <c r="N73" s="31" t="str">
        <f t="shared" si="7"/>
        <v/>
      </c>
      <c r="O73" s="31"/>
      <c r="P73" s="32" t="str">
        <f t="shared" si="8"/>
        <v/>
      </c>
      <c r="Q73" s="33">
        <f>SUM(P64:P72)</f>
        <v>398389.12</v>
      </c>
      <c r="R73" s="17"/>
      <c r="S73" s="17"/>
      <c r="T73" s="17"/>
      <c r="U73" s="17"/>
      <c r="V73" s="17"/>
      <c r="W73" s="17"/>
      <c r="X73" s="17"/>
      <c r="Y73" s="17"/>
      <c r="Z73" s="17"/>
      <c r="AA73" s="17"/>
      <c r="AB73" s="17"/>
      <c r="AC73" s="17"/>
      <c r="AD73" s="17"/>
      <c r="AE73" s="17"/>
      <c r="AF73" s="17"/>
      <c r="AG73" s="17"/>
      <c r="AH73" s="17"/>
      <c r="AI73" s="17"/>
      <c r="AJ73" s="17"/>
      <c r="AK73" s="17"/>
    </row>
    <row r="74" spans="1:37" s="158" customFormat="1" ht="15.75" customHeight="1" x14ac:dyDescent="0.3">
      <c r="A74" s="154" t="str">
        <f t="shared" si="0"/>
        <v/>
      </c>
      <c r="B74" s="155"/>
      <c r="C74" s="155" t="s">
        <v>86</v>
      </c>
      <c r="D74" s="155" t="s">
        <v>87</v>
      </c>
      <c r="E74" s="155"/>
      <c r="F74" s="155"/>
      <c r="G74" s="155"/>
      <c r="H74" s="155"/>
      <c r="I74" s="155" t="s">
        <v>44</v>
      </c>
      <c r="J74" s="155" t="s">
        <v>44</v>
      </c>
      <c r="K74" s="159">
        <v>12</v>
      </c>
      <c r="L74" s="155" t="str">
        <f t="shared" si="6"/>
        <v/>
      </c>
      <c r="M74" s="155" t="s">
        <v>44</v>
      </c>
      <c r="N74" s="155" t="str">
        <f t="shared" si="7"/>
        <v/>
      </c>
      <c r="O74" s="155"/>
      <c r="P74" s="155" t="str">
        <f t="shared" si="8"/>
        <v/>
      </c>
      <c r="Q74" s="157"/>
    </row>
    <row r="75" spans="1:37" ht="15.75" customHeight="1" x14ac:dyDescent="0.3">
      <c r="A75" s="34" t="str">
        <f t="shared" si="0"/>
        <v/>
      </c>
      <c r="B75" s="19"/>
      <c r="C75" s="19"/>
      <c r="D75" s="160" t="s">
        <v>88</v>
      </c>
      <c r="E75" s="21"/>
      <c r="F75" s="22"/>
      <c r="G75" s="21"/>
      <c r="H75" s="19"/>
      <c r="I75" s="23" t="s">
        <v>44</v>
      </c>
      <c r="J75" s="23" t="s">
        <v>44</v>
      </c>
      <c r="K75" s="23" t="str">
        <f>IF(H75&lt;&gt;"",(J75/8/$K$26),"")</f>
        <v/>
      </c>
      <c r="L75" s="23" t="str">
        <f t="shared" si="6"/>
        <v/>
      </c>
      <c r="M75" s="23" t="s">
        <v>44</v>
      </c>
      <c r="N75" s="24" t="str">
        <f t="shared" si="7"/>
        <v/>
      </c>
      <c r="O75" s="24"/>
      <c r="P75" s="24" t="str">
        <f t="shared" si="8"/>
        <v/>
      </c>
      <c r="Q75" s="25"/>
      <c r="R75" s="17"/>
      <c r="S75" s="17"/>
      <c r="T75" s="17"/>
      <c r="U75" s="17"/>
      <c r="V75" s="17"/>
      <c r="W75" s="17"/>
      <c r="X75" s="17"/>
      <c r="Y75" s="17"/>
      <c r="Z75" s="17"/>
      <c r="AA75" s="17"/>
      <c r="AB75" s="17"/>
      <c r="AC75" s="17"/>
      <c r="AD75" s="17"/>
      <c r="AE75" s="17"/>
      <c r="AF75" s="17"/>
      <c r="AG75" s="17"/>
      <c r="AH75" s="17"/>
      <c r="AI75" s="17"/>
      <c r="AJ75" s="17"/>
      <c r="AK75" s="17"/>
    </row>
    <row r="76" spans="1:37" ht="15.75" customHeight="1" x14ac:dyDescent="0.3">
      <c r="A76" s="18">
        <f t="shared" si="0"/>
        <v>38</v>
      </c>
      <c r="B76" s="19" t="s">
        <v>48</v>
      </c>
      <c r="C76" s="19" t="s">
        <v>48</v>
      </c>
      <c r="D76" s="38" t="s">
        <v>89</v>
      </c>
      <c r="E76" s="21">
        <v>10830.75</v>
      </c>
      <c r="F76" s="22">
        <v>0.1</v>
      </c>
      <c r="G76" s="21">
        <f t="shared" ref="G76:G77" si="24">E76+(E76*F76)</f>
        <v>11913.825000000001</v>
      </c>
      <c r="H76" s="19" t="s">
        <v>53</v>
      </c>
      <c r="I76" s="23">
        <f>15*0.4</f>
        <v>6</v>
      </c>
      <c r="J76" s="23">
        <v>1553.9771739130438</v>
      </c>
      <c r="K76" s="23">
        <f t="shared" ref="K76:K84" si="25">IF(H76&lt;&gt;"",(J76/8/$K$74),"")</f>
        <v>16.187262228260874</v>
      </c>
      <c r="L76" s="23">
        <f t="shared" si="6"/>
        <v>46</v>
      </c>
      <c r="M76" s="23">
        <f>15-6</f>
        <v>9</v>
      </c>
      <c r="N76" s="24">
        <f t="shared" si="7"/>
        <v>71482.950000000012</v>
      </c>
      <c r="O76" s="24">
        <f t="shared" ref="O76:O77" si="26">M76*G76</f>
        <v>107224.425</v>
      </c>
      <c r="P76" s="24">
        <f t="shared" si="8"/>
        <v>178707.375</v>
      </c>
      <c r="Q76" s="25"/>
      <c r="R76" s="17"/>
      <c r="S76" s="17"/>
      <c r="T76" s="17"/>
      <c r="U76" s="17"/>
      <c r="V76" s="17"/>
      <c r="W76" s="17"/>
      <c r="X76" s="17"/>
      <c r="Y76" s="17"/>
      <c r="Z76" s="17"/>
      <c r="AA76" s="17"/>
      <c r="AB76" s="17"/>
      <c r="AC76" s="17"/>
      <c r="AD76" s="17"/>
      <c r="AE76" s="17"/>
      <c r="AF76" s="17"/>
      <c r="AG76" s="17"/>
      <c r="AH76" s="17"/>
      <c r="AI76" s="17"/>
      <c r="AJ76" s="17"/>
      <c r="AK76" s="17"/>
    </row>
    <row r="77" spans="1:37" ht="15.75" customHeight="1" x14ac:dyDescent="0.3">
      <c r="A77" s="18">
        <f t="shared" si="0"/>
        <v>39</v>
      </c>
      <c r="B77" s="19" t="s">
        <v>90</v>
      </c>
      <c r="C77" s="19" t="s">
        <v>48</v>
      </c>
      <c r="D77" s="38" t="s">
        <v>91</v>
      </c>
      <c r="E77" s="21">
        <v>3169.19</v>
      </c>
      <c r="F77" s="22">
        <v>0.1</v>
      </c>
      <c r="G77" s="21">
        <f t="shared" si="24"/>
        <v>3486.1089999999999</v>
      </c>
      <c r="H77" s="19" t="s">
        <v>53</v>
      </c>
      <c r="I77" s="23">
        <v>5.8000000000000007</v>
      </c>
      <c r="J77" s="23">
        <v>439.55287391304353</v>
      </c>
      <c r="K77" s="23">
        <f t="shared" si="25"/>
        <v>4.5786757699275364</v>
      </c>
      <c r="L77" s="23">
        <f t="shared" si="6"/>
        <v>46</v>
      </c>
      <c r="M77" s="23">
        <v>8.6999999999999993</v>
      </c>
      <c r="N77" s="24">
        <f t="shared" si="7"/>
        <v>20219.432200000003</v>
      </c>
      <c r="O77" s="24">
        <f t="shared" si="26"/>
        <v>30329.148299999997</v>
      </c>
      <c r="P77" s="24">
        <f t="shared" si="8"/>
        <v>50548.580499999996</v>
      </c>
      <c r="Q77" s="25"/>
      <c r="R77" s="17"/>
      <c r="S77" s="17"/>
      <c r="T77" s="17"/>
      <c r="U77" s="17"/>
      <c r="V77" s="17"/>
      <c r="W77" s="17"/>
      <c r="X77" s="17"/>
      <c r="Y77" s="17"/>
      <c r="Z77" s="17"/>
      <c r="AA77" s="17"/>
      <c r="AB77" s="17"/>
      <c r="AC77" s="17"/>
      <c r="AD77" s="17"/>
      <c r="AE77" s="17"/>
      <c r="AF77" s="17"/>
      <c r="AG77" s="17"/>
      <c r="AH77" s="17"/>
      <c r="AI77" s="17"/>
      <c r="AJ77" s="17"/>
      <c r="AK77" s="17"/>
    </row>
    <row r="78" spans="1:37" ht="15.75" customHeight="1" x14ac:dyDescent="0.3">
      <c r="A78" s="18" t="str">
        <f t="shared" si="0"/>
        <v/>
      </c>
      <c r="B78" s="19"/>
      <c r="C78" s="19"/>
      <c r="D78" s="20"/>
      <c r="E78" s="21"/>
      <c r="F78" s="22"/>
      <c r="G78" s="21"/>
      <c r="H78" s="19"/>
      <c r="I78" s="23" t="s">
        <v>44</v>
      </c>
      <c r="J78" s="23" t="s">
        <v>44</v>
      </c>
      <c r="K78" s="23" t="str">
        <f t="shared" si="25"/>
        <v/>
      </c>
      <c r="L78" s="23" t="str">
        <f t="shared" si="6"/>
        <v/>
      </c>
      <c r="M78" s="23" t="s">
        <v>44</v>
      </c>
      <c r="N78" s="24" t="str">
        <f t="shared" si="7"/>
        <v/>
      </c>
      <c r="O78" s="24"/>
      <c r="P78" s="24" t="str">
        <f t="shared" si="8"/>
        <v/>
      </c>
      <c r="Q78" s="25"/>
      <c r="R78" s="17"/>
      <c r="S78" s="17"/>
      <c r="T78" s="17"/>
      <c r="U78" s="17"/>
      <c r="V78" s="17"/>
      <c r="W78" s="17"/>
      <c r="X78" s="17"/>
      <c r="Y78" s="17"/>
      <c r="Z78" s="17"/>
      <c r="AA78" s="17"/>
      <c r="AB78" s="17"/>
      <c r="AC78" s="17"/>
      <c r="AD78" s="17"/>
      <c r="AE78" s="17"/>
      <c r="AF78" s="17"/>
      <c r="AG78" s="17"/>
      <c r="AH78" s="17"/>
      <c r="AI78" s="17"/>
      <c r="AJ78" s="17"/>
      <c r="AK78" s="17"/>
    </row>
    <row r="79" spans="1:37" ht="15.75" customHeight="1" x14ac:dyDescent="0.3">
      <c r="A79" s="18" t="str">
        <f t="shared" si="0"/>
        <v/>
      </c>
      <c r="B79" s="19"/>
      <c r="C79" s="19"/>
      <c r="D79" s="160" t="s">
        <v>92</v>
      </c>
      <c r="E79" s="21"/>
      <c r="F79" s="22"/>
      <c r="G79" s="21"/>
      <c r="H79" s="19"/>
      <c r="I79" s="23" t="s">
        <v>44</v>
      </c>
      <c r="J79" s="23" t="s">
        <v>44</v>
      </c>
      <c r="K79" s="23" t="str">
        <f t="shared" si="25"/>
        <v/>
      </c>
      <c r="L79" s="23" t="str">
        <f t="shared" si="6"/>
        <v/>
      </c>
      <c r="M79" s="23" t="s">
        <v>44</v>
      </c>
      <c r="N79" s="24" t="str">
        <f t="shared" si="7"/>
        <v/>
      </c>
      <c r="O79" s="24"/>
      <c r="P79" s="24" t="str">
        <f t="shared" si="8"/>
        <v/>
      </c>
      <c r="Q79" s="25"/>
      <c r="R79" s="17"/>
      <c r="S79" s="17"/>
      <c r="T79" s="17"/>
      <c r="U79" s="17"/>
      <c r="V79" s="17"/>
      <c r="W79" s="17"/>
      <c r="X79" s="17"/>
      <c r="Y79" s="17"/>
      <c r="Z79" s="17"/>
      <c r="AA79" s="17"/>
      <c r="AB79" s="17"/>
      <c r="AC79" s="17"/>
      <c r="AD79" s="17"/>
      <c r="AE79" s="17"/>
      <c r="AF79" s="17"/>
      <c r="AG79" s="17"/>
      <c r="AH79" s="17"/>
      <c r="AI79" s="17"/>
      <c r="AJ79" s="17"/>
      <c r="AK79" s="17"/>
    </row>
    <row r="80" spans="1:37" ht="15.75" customHeight="1" x14ac:dyDescent="0.3">
      <c r="A80" s="18">
        <f t="shared" si="0"/>
        <v>40</v>
      </c>
      <c r="B80" s="19" t="s">
        <v>48</v>
      </c>
      <c r="C80" s="19"/>
      <c r="D80" s="20" t="s">
        <v>93</v>
      </c>
      <c r="E80" s="21">
        <v>6</v>
      </c>
      <c r="F80" s="22">
        <v>0</v>
      </c>
      <c r="G80" s="21">
        <f t="shared" ref="G80:G83" si="27">E80+(E80*F80)</f>
        <v>6</v>
      </c>
      <c r="H80" s="19" t="s">
        <v>41</v>
      </c>
      <c r="I80" s="23">
        <v>150</v>
      </c>
      <c r="J80" s="23">
        <v>19.565217391304348</v>
      </c>
      <c r="K80" s="23">
        <f t="shared" si="25"/>
        <v>0.20380434782608695</v>
      </c>
      <c r="L80" s="23">
        <f t="shared" si="6"/>
        <v>46</v>
      </c>
      <c r="M80" s="23">
        <v>225</v>
      </c>
      <c r="N80" s="24">
        <f t="shared" si="7"/>
        <v>900</v>
      </c>
      <c r="O80" s="24">
        <f t="shared" ref="O80:O83" si="28">M80*G80</f>
        <v>1350</v>
      </c>
      <c r="P80" s="24">
        <f t="shared" si="8"/>
        <v>2250</v>
      </c>
      <c r="Q80" s="25"/>
      <c r="R80" s="17"/>
      <c r="S80" s="17"/>
      <c r="T80" s="17"/>
      <c r="U80" s="17"/>
      <c r="V80" s="17"/>
      <c r="W80" s="17"/>
      <c r="X80" s="17"/>
      <c r="Y80" s="17"/>
      <c r="Z80" s="17"/>
      <c r="AA80" s="17"/>
      <c r="AB80" s="17"/>
      <c r="AC80" s="17"/>
      <c r="AD80" s="17"/>
      <c r="AE80" s="17"/>
      <c r="AF80" s="17"/>
      <c r="AG80" s="17"/>
      <c r="AH80" s="17"/>
      <c r="AI80" s="17"/>
      <c r="AJ80" s="17"/>
      <c r="AK80" s="17"/>
    </row>
    <row r="81" spans="1:37" ht="15.75" customHeight="1" x14ac:dyDescent="0.3">
      <c r="A81" s="18">
        <f t="shared" si="0"/>
        <v>41</v>
      </c>
      <c r="B81" s="19" t="s">
        <v>48</v>
      </c>
      <c r="C81" s="19"/>
      <c r="D81" s="20" t="s">
        <v>94</v>
      </c>
      <c r="E81" s="21">
        <v>4</v>
      </c>
      <c r="F81" s="22">
        <v>0</v>
      </c>
      <c r="G81" s="21">
        <f t="shared" si="27"/>
        <v>4</v>
      </c>
      <c r="H81" s="19" t="s">
        <v>41</v>
      </c>
      <c r="I81" s="23">
        <v>130</v>
      </c>
      <c r="J81" s="23">
        <v>11.304347826086957</v>
      </c>
      <c r="K81" s="23">
        <f t="shared" si="25"/>
        <v>0.11775362318840581</v>
      </c>
      <c r="L81" s="23">
        <f t="shared" si="6"/>
        <v>46</v>
      </c>
      <c r="M81" s="23">
        <v>195</v>
      </c>
      <c r="N81" s="24">
        <f t="shared" si="7"/>
        <v>520</v>
      </c>
      <c r="O81" s="24">
        <f t="shared" si="28"/>
        <v>780</v>
      </c>
      <c r="P81" s="24">
        <f t="shared" si="8"/>
        <v>1300</v>
      </c>
      <c r="Q81" s="25"/>
      <c r="R81" s="17"/>
      <c r="S81" s="17"/>
      <c r="T81" s="17"/>
      <c r="U81" s="17"/>
      <c r="V81" s="17"/>
      <c r="W81" s="17"/>
      <c r="X81" s="17"/>
      <c r="Y81" s="17"/>
      <c r="Z81" s="17"/>
      <c r="AA81" s="17"/>
      <c r="AB81" s="17"/>
      <c r="AC81" s="17"/>
      <c r="AD81" s="17"/>
      <c r="AE81" s="17"/>
      <c r="AF81" s="17"/>
      <c r="AG81" s="17"/>
      <c r="AH81" s="17"/>
      <c r="AI81" s="17"/>
      <c r="AJ81" s="17"/>
      <c r="AK81" s="17"/>
    </row>
    <row r="82" spans="1:37" ht="15.75" customHeight="1" x14ac:dyDescent="0.3">
      <c r="A82" s="34">
        <f t="shared" si="0"/>
        <v>42</v>
      </c>
      <c r="B82" s="19" t="s">
        <v>48</v>
      </c>
      <c r="C82" s="19"/>
      <c r="D82" s="38" t="s">
        <v>95</v>
      </c>
      <c r="E82" s="21">
        <v>520.15</v>
      </c>
      <c r="F82" s="22">
        <v>0.1</v>
      </c>
      <c r="G82" s="21">
        <f t="shared" si="27"/>
        <v>572.16499999999996</v>
      </c>
      <c r="H82" s="19" t="s">
        <v>43</v>
      </c>
      <c r="I82" s="23">
        <v>0.8</v>
      </c>
      <c r="J82" s="23">
        <v>9.9506956521739127</v>
      </c>
      <c r="K82" s="23">
        <f t="shared" si="25"/>
        <v>0.10365307971014492</v>
      </c>
      <c r="L82" s="23">
        <f t="shared" si="6"/>
        <v>46</v>
      </c>
      <c r="M82" s="23">
        <v>1.2</v>
      </c>
      <c r="N82" s="24">
        <f t="shared" si="7"/>
        <v>457.73199999999997</v>
      </c>
      <c r="O82" s="24">
        <f t="shared" si="28"/>
        <v>686.59799999999996</v>
      </c>
      <c r="P82" s="24">
        <f t="shared" si="8"/>
        <v>1144.33</v>
      </c>
      <c r="Q82" s="25"/>
      <c r="R82" s="17"/>
      <c r="S82" s="17"/>
      <c r="T82" s="17"/>
      <c r="U82" s="17"/>
      <c r="V82" s="17"/>
      <c r="W82" s="17"/>
      <c r="X82" s="17"/>
      <c r="Y82" s="17"/>
      <c r="Z82" s="17"/>
      <c r="AA82" s="17"/>
      <c r="AB82" s="17"/>
      <c r="AC82" s="17"/>
      <c r="AD82" s="17"/>
      <c r="AE82" s="17"/>
      <c r="AF82" s="17"/>
      <c r="AG82" s="17"/>
      <c r="AH82" s="17"/>
      <c r="AI82" s="17"/>
      <c r="AJ82" s="17"/>
      <c r="AK82" s="17"/>
    </row>
    <row r="83" spans="1:37" ht="15.75" customHeight="1" x14ac:dyDescent="0.3">
      <c r="A83" s="34">
        <f t="shared" si="0"/>
        <v>43</v>
      </c>
      <c r="B83" s="19" t="s">
        <v>48</v>
      </c>
      <c r="C83" s="19"/>
      <c r="D83" s="38" t="s">
        <v>96</v>
      </c>
      <c r="E83" s="21">
        <v>520.15</v>
      </c>
      <c r="F83" s="22">
        <v>0.1</v>
      </c>
      <c r="G83" s="21">
        <f t="shared" si="27"/>
        <v>572.16499999999996</v>
      </c>
      <c r="H83" s="19" t="s">
        <v>43</v>
      </c>
      <c r="I83" s="23">
        <v>1.4000000000000001</v>
      </c>
      <c r="J83" s="23">
        <v>17.413717391304349</v>
      </c>
      <c r="K83" s="23">
        <f t="shared" si="25"/>
        <v>0.18139288949275365</v>
      </c>
      <c r="L83" s="23">
        <f t="shared" si="6"/>
        <v>46</v>
      </c>
      <c r="M83" s="23">
        <v>2.0999999999999996</v>
      </c>
      <c r="N83" s="24">
        <f t="shared" si="7"/>
        <v>801.03100000000006</v>
      </c>
      <c r="O83" s="24">
        <f t="shared" si="28"/>
        <v>1201.5464999999997</v>
      </c>
      <c r="P83" s="24">
        <f t="shared" si="8"/>
        <v>2002.5774999999999</v>
      </c>
      <c r="Q83" s="25"/>
      <c r="R83" s="17"/>
      <c r="S83" s="17"/>
      <c r="T83" s="17"/>
      <c r="U83" s="17"/>
      <c r="V83" s="17"/>
      <c r="W83" s="17"/>
      <c r="X83" s="17"/>
      <c r="Y83" s="17"/>
      <c r="Z83" s="17"/>
      <c r="AA83" s="17"/>
      <c r="AB83" s="17"/>
      <c r="AC83" s="17"/>
      <c r="AD83" s="17"/>
      <c r="AE83" s="17"/>
      <c r="AF83" s="17"/>
      <c r="AG83" s="17"/>
      <c r="AH83" s="17"/>
      <c r="AI83" s="17"/>
      <c r="AJ83" s="17"/>
      <c r="AK83" s="17"/>
    </row>
    <row r="84" spans="1:37" ht="15.75" customHeight="1" x14ac:dyDescent="0.3">
      <c r="A84" s="18" t="str">
        <f t="shared" si="0"/>
        <v/>
      </c>
      <c r="B84" s="19"/>
      <c r="C84" s="19"/>
      <c r="D84" s="20"/>
      <c r="E84" s="21"/>
      <c r="F84" s="22"/>
      <c r="G84" s="21"/>
      <c r="H84" s="19"/>
      <c r="I84" s="23" t="s">
        <v>44</v>
      </c>
      <c r="J84" s="23" t="s">
        <v>44</v>
      </c>
      <c r="K84" s="23" t="str">
        <f t="shared" si="25"/>
        <v/>
      </c>
      <c r="L84" s="23" t="str">
        <f t="shared" si="6"/>
        <v/>
      </c>
      <c r="M84" s="23" t="s">
        <v>44</v>
      </c>
      <c r="N84" s="24" t="str">
        <f t="shared" si="7"/>
        <v/>
      </c>
      <c r="O84" s="24"/>
      <c r="P84" s="24" t="str">
        <f t="shared" si="8"/>
        <v/>
      </c>
      <c r="Q84" s="25"/>
      <c r="R84" s="17"/>
      <c r="S84" s="17"/>
      <c r="T84" s="17"/>
      <c r="U84" s="17"/>
      <c r="V84" s="17"/>
      <c r="W84" s="17"/>
      <c r="X84" s="17"/>
      <c r="Y84" s="17"/>
      <c r="Z84" s="17"/>
      <c r="AA84" s="17"/>
      <c r="AB84" s="17"/>
      <c r="AC84" s="17"/>
      <c r="AD84" s="17"/>
      <c r="AE84" s="17"/>
      <c r="AF84" s="17"/>
      <c r="AG84" s="17"/>
      <c r="AH84" s="17"/>
      <c r="AI84" s="17"/>
      <c r="AJ84" s="17"/>
      <c r="AK84" s="17"/>
    </row>
    <row r="85" spans="1:37" ht="15.75" customHeight="1" x14ac:dyDescent="0.3">
      <c r="A85" s="34" t="str">
        <f t="shared" si="0"/>
        <v/>
      </c>
      <c r="B85" s="19"/>
      <c r="C85" s="19"/>
      <c r="D85" s="26" t="s">
        <v>35</v>
      </c>
      <c r="E85" s="27"/>
      <c r="F85" s="28"/>
      <c r="G85" s="27"/>
      <c r="H85" s="29"/>
      <c r="I85" s="30" t="s">
        <v>44</v>
      </c>
      <c r="J85" s="30" t="s">
        <v>44</v>
      </c>
      <c r="K85" s="30" t="str">
        <f>IF(H85&lt;&gt;"",(J85/8/$K$26),"")</f>
        <v/>
      </c>
      <c r="L85" s="30" t="str">
        <f t="shared" si="6"/>
        <v/>
      </c>
      <c r="M85" s="30" t="s">
        <v>44</v>
      </c>
      <c r="N85" s="31" t="str">
        <f t="shared" si="7"/>
        <v/>
      </c>
      <c r="O85" s="31"/>
      <c r="P85" s="32" t="str">
        <f t="shared" si="8"/>
        <v/>
      </c>
      <c r="Q85" s="33">
        <f>SUM(P75:P84)</f>
        <v>235952.86299999998</v>
      </c>
      <c r="R85" s="17"/>
      <c r="S85" s="17"/>
      <c r="T85" s="17"/>
      <c r="U85" s="17"/>
      <c r="V85" s="17"/>
      <c r="W85" s="17"/>
      <c r="X85" s="17"/>
      <c r="Y85" s="17"/>
      <c r="Z85" s="17"/>
      <c r="AA85" s="17"/>
      <c r="AB85" s="17"/>
      <c r="AC85" s="17"/>
      <c r="AD85" s="17"/>
      <c r="AE85" s="17"/>
      <c r="AF85" s="17"/>
      <c r="AG85" s="17"/>
      <c r="AH85" s="17"/>
      <c r="AI85" s="17"/>
      <c r="AJ85" s="17"/>
      <c r="AK85" s="17"/>
    </row>
    <row r="86" spans="1:37" s="158" customFormat="1" ht="15.75" customHeight="1" x14ac:dyDescent="0.3">
      <c r="A86" s="154" t="str">
        <f t="shared" si="0"/>
        <v/>
      </c>
      <c r="B86" s="155"/>
      <c r="C86" s="155" t="s">
        <v>97</v>
      </c>
      <c r="D86" s="155" t="s">
        <v>98</v>
      </c>
      <c r="E86" s="155"/>
      <c r="F86" s="155"/>
      <c r="G86" s="155"/>
      <c r="H86" s="155"/>
      <c r="I86" s="155" t="s">
        <v>44</v>
      </c>
      <c r="J86" s="155" t="s">
        <v>44</v>
      </c>
      <c r="K86" s="159">
        <v>10</v>
      </c>
      <c r="L86" s="155" t="str">
        <f t="shared" si="6"/>
        <v/>
      </c>
      <c r="M86" s="155" t="s">
        <v>44</v>
      </c>
      <c r="N86" s="155" t="str">
        <f t="shared" si="7"/>
        <v/>
      </c>
      <c r="O86" s="155"/>
      <c r="P86" s="155" t="str">
        <f t="shared" si="8"/>
        <v/>
      </c>
      <c r="Q86" s="157"/>
    </row>
    <row r="87" spans="1:37" ht="15.75" customHeight="1" x14ac:dyDescent="0.3">
      <c r="A87" s="34" t="str">
        <f t="shared" si="0"/>
        <v/>
      </c>
      <c r="B87" s="19"/>
      <c r="C87" s="19"/>
      <c r="D87" s="160" t="s">
        <v>99</v>
      </c>
      <c r="E87" s="21"/>
      <c r="F87" s="22"/>
      <c r="G87" s="21"/>
      <c r="H87" s="19"/>
      <c r="I87" s="23" t="s">
        <v>44</v>
      </c>
      <c r="J87" s="23" t="s">
        <v>44</v>
      </c>
      <c r="K87" s="23" t="str">
        <f>IF(H87&lt;&gt;"",(J87/8/$K$26),"")</f>
        <v/>
      </c>
      <c r="L87" s="23" t="str">
        <f t="shared" si="6"/>
        <v/>
      </c>
      <c r="M87" s="23" t="s">
        <v>44</v>
      </c>
      <c r="N87" s="24" t="str">
        <f t="shared" si="7"/>
        <v/>
      </c>
      <c r="O87" s="24"/>
      <c r="P87" s="24" t="str">
        <f t="shared" si="8"/>
        <v/>
      </c>
      <c r="Q87" s="25"/>
      <c r="R87" s="17"/>
      <c r="S87" s="17"/>
      <c r="T87" s="17"/>
      <c r="U87" s="17"/>
      <c r="V87" s="17"/>
      <c r="W87" s="17"/>
      <c r="X87" s="17"/>
      <c r="Y87" s="17"/>
      <c r="Z87" s="17"/>
      <c r="AA87" s="17"/>
      <c r="AB87" s="17"/>
      <c r="AC87" s="17"/>
      <c r="AD87" s="17"/>
      <c r="AE87" s="17"/>
      <c r="AF87" s="17"/>
      <c r="AG87" s="17"/>
      <c r="AH87" s="17"/>
      <c r="AI87" s="17"/>
      <c r="AJ87" s="17"/>
      <c r="AK87" s="17"/>
    </row>
    <row r="88" spans="1:37" ht="15.75" customHeight="1" x14ac:dyDescent="0.3">
      <c r="A88" s="18">
        <f t="shared" si="0"/>
        <v>44</v>
      </c>
      <c r="B88" s="19" t="s">
        <v>51</v>
      </c>
      <c r="C88" s="19" t="s">
        <v>100</v>
      </c>
      <c r="D88" s="20" t="s">
        <v>101</v>
      </c>
      <c r="E88" s="21">
        <v>3</v>
      </c>
      <c r="F88" s="22">
        <v>0</v>
      </c>
      <c r="G88" s="21">
        <f t="shared" ref="G88:G102" si="29">E88+(E88*F88)</f>
        <v>3</v>
      </c>
      <c r="H88" s="19" t="s">
        <v>41</v>
      </c>
      <c r="I88" s="23">
        <v>87.5</v>
      </c>
      <c r="J88" s="23">
        <v>5.7065217391304346</v>
      </c>
      <c r="K88" s="23">
        <f t="shared" ref="K88:K112" si="30">IF(H88&lt;&gt;"",(J88/8/$K$86),"")</f>
        <v>7.1331521739130432E-2</v>
      </c>
      <c r="L88" s="23">
        <f t="shared" si="6"/>
        <v>46</v>
      </c>
      <c r="M88" s="23">
        <v>787.5</v>
      </c>
      <c r="N88" s="24">
        <f t="shared" si="7"/>
        <v>262.5</v>
      </c>
      <c r="O88" s="24">
        <f t="shared" ref="O88:O102" si="31">M88*G88</f>
        <v>2362.5</v>
      </c>
      <c r="P88" s="24">
        <f t="shared" si="8"/>
        <v>2625</v>
      </c>
      <c r="Q88" s="25"/>
      <c r="R88" s="17"/>
      <c r="S88" s="17"/>
      <c r="T88" s="17"/>
      <c r="U88" s="17"/>
      <c r="V88" s="17"/>
      <c r="W88" s="17"/>
      <c r="X88" s="17"/>
      <c r="Y88" s="17"/>
      <c r="Z88" s="17"/>
      <c r="AA88" s="17"/>
      <c r="AB88" s="17"/>
      <c r="AC88" s="17"/>
      <c r="AD88" s="17"/>
      <c r="AE88" s="17"/>
      <c r="AF88" s="17"/>
      <c r="AG88" s="17"/>
      <c r="AH88" s="17"/>
      <c r="AI88" s="17"/>
      <c r="AJ88" s="17"/>
      <c r="AK88" s="17"/>
    </row>
    <row r="89" spans="1:37" ht="15.75" customHeight="1" x14ac:dyDescent="0.3">
      <c r="A89" s="18">
        <f t="shared" si="0"/>
        <v>45</v>
      </c>
      <c r="B89" s="19" t="s">
        <v>51</v>
      </c>
      <c r="C89" s="19" t="s">
        <v>100</v>
      </c>
      <c r="D89" s="38" t="s">
        <v>102</v>
      </c>
      <c r="E89" s="21">
        <v>13</v>
      </c>
      <c r="F89" s="22">
        <v>0</v>
      </c>
      <c r="G89" s="21">
        <f t="shared" si="29"/>
        <v>13</v>
      </c>
      <c r="H89" s="19" t="s">
        <v>41</v>
      </c>
      <c r="I89" s="23">
        <v>92.5</v>
      </c>
      <c r="J89" s="23">
        <v>26.141304347826086</v>
      </c>
      <c r="K89" s="23">
        <f t="shared" si="30"/>
        <v>0.32676630434782605</v>
      </c>
      <c r="L89" s="23">
        <f t="shared" si="6"/>
        <v>46</v>
      </c>
      <c r="M89" s="23">
        <v>832.5</v>
      </c>
      <c r="N89" s="24">
        <f t="shared" si="7"/>
        <v>1202.5</v>
      </c>
      <c r="O89" s="24">
        <f t="shared" si="31"/>
        <v>10822.5</v>
      </c>
      <c r="P89" s="24">
        <f t="shared" si="8"/>
        <v>12025</v>
      </c>
      <c r="Q89" s="25"/>
      <c r="R89" s="17"/>
      <c r="S89" s="17"/>
      <c r="T89" s="17"/>
      <c r="U89" s="17"/>
      <c r="V89" s="17"/>
      <c r="W89" s="17"/>
      <c r="X89" s="17"/>
      <c r="Y89" s="17"/>
      <c r="Z89" s="17"/>
      <c r="AA89" s="17"/>
      <c r="AB89" s="17"/>
      <c r="AC89" s="17"/>
      <c r="AD89" s="17"/>
      <c r="AE89" s="17"/>
      <c r="AF89" s="17"/>
      <c r="AG89" s="17"/>
      <c r="AH89" s="17"/>
      <c r="AI89" s="17"/>
      <c r="AJ89" s="17"/>
      <c r="AK89" s="17"/>
    </row>
    <row r="90" spans="1:37" ht="15.75" customHeight="1" x14ac:dyDescent="0.3">
      <c r="A90" s="18">
        <f t="shared" si="0"/>
        <v>46</v>
      </c>
      <c r="B90" s="19" t="s">
        <v>51</v>
      </c>
      <c r="C90" s="19" t="s">
        <v>100</v>
      </c>
      <c r="D90" s="38" t="s">
        <v>103</v>
      </c>
      <c r="E90" s="21">
        <v>14</v>
      </c>
      <c r="F90" s="22">
        <v>0</v>
      </c>
      <c r="G90" s="21">
        <f t="shared" si="29"/>
        <v>14</v>
      </c>
      <c r="H90" s="19" t="s">
        <v>41</v>
      </c>
      <c r="I90" s="23">
        <v>92.5</v>
      </c>
      <c r="J90" s="23">
        <v>28.152173913043477</v>
      </c>
      <c r="K90" s="23">
        <f t="shared" si="30"/>
        <v>0.35190217391304346</v>
      </c>
      <c r="L90" s="23">
        <f t="shared" si="6"/>
        <v>46</v>
      </c>
      <c r="M90" s="23">
        <v>832.5</v>
      </c>
      <c r="N90" s="24">
        <f t="shared" si="7"/>
        <v>1295</v>
      </c>
      <c r="O90" s="24">
        <f t="shared" si="31"/>
        <v>11655</v>
      </c>
      <c r="P90" s="24">
        <f t="shared" si="8"/>
        <v>12950</v>
      </c>
      <c r="Q90" s="25"/>
      <c r="R90" s="17"/>
      <c r="S90" s="17"/>
      <c r="T90" s="17"/>
      <c r="U90" s="17"/>
      <c r="V90" s="17"/>
      <c r="W90" s="17"/>
      <c r="X90" s="17"/>
      <c r="Y90" s="17"/>
      <c r="Z90" s="17"/>
      <c r="AA90" s="17"/>
      <c r="AB90" s="17"/>
      <c r="AC90" s="17"/>
      <c r="AD90" s="17"/>
      <c r="AE90" s="17"/>
      <c r="AF90" s="17"/>
      <c r="AG90" s="17"/>
      <c r="AH90" s="17"/>
      <c r="AI90" s="17"/>
      <c r="AJ90" s="17"/>
      <c r="AK90" s="17"/>
    </row>
    <row r="91" spans="1:37" ht="15.75" customHeight="1" x14ac:dyDescent="0.3">
      <c r="A91" s="18">
        <f t="shared" si="0"/>
        <v>47</v>
      </c>
      <c r="B91" s="19" t="s">
        <v>51</v>
      </c>
      <c r="C91" s="19" t="s">
        <v>100</v>
      </c>
      <c r="D91" s="38" t="s">
        <v>104</v>
      </c>
      <c r="E91" s="21">
        <v>4</v>
      </c>
      <c r="F91" s="22">
        <v>0</v>
      </c>
      <c r="G91" s="21">
        <f t="shared" si="29"/>
        <v>4</v>
      </c>
      <c r="H91" s="19" t="s">
        <v>41</v>
      </c>
      <c r="I91" s="23">
        <v>92.5</v>
      </c>
      <c r="J91" s="23">
        <v>8.0434782608695645</v>
      </c>
      <c r="K91" s="23">
        <f t="shared" si="30"/>
        <v>0.10054347826086955</v>
      </c>
      <c r="L91" s="23">
        <f t="shared" si="6"/>
        <v>46</v>
      </c>
      <c r="M91" s="23">
        <v>832.5</v>
      </c>
      <c r="N91" s="24">
        <f t="shared" si="7"/>
        <v>369.99999999999994</v>
      </c>
      <c r="O91" s="24">
        <f t="shared" si="31"/>
        <v>3330</v>
      </c>
      <c r="P91" s="24">
        <f t="shared" si="8"/>
        <v>3700</v>
      </c>
      <c r="Q91" s="25"/>
      <c r="R91" s="17"/>
      <c r="S91" s="17"/>
      <c r="T91" s="17"/>
      <c r="U91" s="17"/>
      <c r="V91" s="17"/>
      <c r="W91" s="17"/>
      <c r="X91" s="17"/>
      <c r="Y91" s="17"/>
      <c r="Z91" s="17"/>
      <c r="AA91" s="17"/>
      <c r="AB91" s="17"/>
      <c r="AC91" s="17"/>
      <c r="AD91" s="17"/>
      <c r="AE91" s="17"/>
      <c r="AF91" s="17"/>
      <c r="AG91" s="17"/>
      <c r="AH91" s="17"/>
      <c r="AI91" s="17"/>
      <c r="AJ91" s="17"/>
      <c r="AK91" s="17"/>
    </row>
    <row r="92" spans="1:37" ht="15.75" customHeight="1" x14ac:dyDescent="0.3">
      <c r="A92" s="18">
        <f t="shared" si="0"/>
        <v>48</v>
      </c>
      <c r="B92" s="19" t="s">
        <v>51</v>
      </c>
      <c r="C92" s="19" t="s">
        <v>100</v>
      </c>
      <c r="D92" s="38" t="s">
        <v>105</v>
      </c>
      <c r="E92" s="21">
        <v>2</v>
      </c>
      <c r="F92" s="22">
        <v>0</v>
      </c>
      <c r="G92" s="21">
        <f t="shared" si="29"/>
        <v>2</v>
      </c>
      <c r="H92" s="19" t="s">
        <v>41</v>
      </c>
      <c r="I92" s="23">
        <v>102.5</v>
      </c>
      <c r="J92" s="23">
        <v>4.4565217391304346</v>
      </c>
      <c r="K92" s="23">
        <f t="shared" si="30"/>
        <v>5.5706521739130432E-2</v>
      </c>
      <c r="L92" s="23">
        <f t="shared" si="6"/>
        <v>46</v>
      </c>
      <c r="M92" s="23">
        <v>922.5</v>
      </c>
      <c r="N92" s="24">
        <f t="shared" si="7"/>
        <v>205</v>
      </c>
      <c r="O92" s="24">
        <f t="shared" si="31"/>
        <v>1845</v>
      </c>
      <c r="P92" s="24">
        <f t="shared" si="8"/>
        <v>2050</v>
      </c>
      <c r="Q92" s="25"/>
      <c r="R92" s="17"/>
      <c r="S92" s="17"/>
      <c r="T92" s="17"/>
      <c r="U92" s="17"/>
      <c r="V92" s="17"/>
      <c r="W92" s="17"/>
      <c r="X92" s="17"/>
      <c r="Y92" s="17"/>
      <c r="Z92" s="17"/>
      <c r="AA92" s="17"/>
      <c r="AB92" s="17"/>
      <c r="AC92" s="17"/>
      <c r="AD92" s="17"/>
      <c r="AE92" s="17"/>
      <c r="AF92" s="17"/>
      <c r="AG92" s="17"/>
      <c r="AH92" s="17"/>
      <c r="AI92" s="17"/>
      <c r="AJ92" s="17"/>
      <c r="AK92" s="17"/>
    </row>
    <row r="93" spans="1:37" ht="15.75" customHeight="1" x14ac:dyDescent="0.3">
      <c r="A93" s="18">
        <f t="shared" si="0"/>
        <v>49</v>
      </c>
      <c r="B93" s="19" t="s">
        <v>51</v>
      </c>
      <c r="C93" s="19" t="s">
        <v>100</v>
      </c>
      <c r="D93" s="38" t="s">
        <v>106</v>
      </c>
      <c r="E93" s="21">
        <v>2</v>
      </c>
      <c r="F93" s="22">
        <v>0</v>
      </c>
      <c r="G93" s="21">
        <f t="shared" si="29"/>
        <v>2</v>
      </c>
      <c r="H93" s="19" t="s">
        <v>41</v>
      </c>
      <c r="I93" s="23">
        <v>192</v>
      </c>
      <c r="J93" s="23">
        <v>8.3478260869565215</v>
      </c>
      <c r="K93" s="23">
        <f t="shared" si="30"/>
        <v>0.10434782608695652</v>
      </c>
      <c r="L93" s="23">
        <f t="shared" si="6"/>
        <v>46</v>
      </c>
      <c r="M93" s="23">
        <v>1728</v>
      </c>
      <c r="N93" s="24">
        <f t="shared" si="7"/>
        <v>384</v>
      </c>
      <c r="O93" s="24">
        <f t="shared" si="31"/>
        <v>3456</v>
      </c>
      <c r="P93" s="24">
        <f t="shared" si="8"/>
        <v>3840</v>
      </c>
      <c r="Q93" s="25"/>
      <c r="R93" s="17"/>
      <c r="S93" s="17"/>
      <c r="T93" s="17"/>
      <c r="U93" s="17"/>
      <c r="V93" s="17"/>
      <c r="W93" s="17"/>
      <c r="X93" s="17"/>
      <c r="Y93" s="17"/>
      <c r="Z93" s="17"/>
      <c r="AA93" s="17"/>
      <c r="AB93" s="17"/>
      <c r="AC93" s="17"/>
      <c r="AD93" s="17"/>
      <c r="AE93" s="17"/>
      <c r="AF93" s="17"/>
      <c r="AG93" s="17"/>
      <c r="AH93" s="17"/>
      <c r="AI93" s="17"/>
      <c r="AJ93" s="17"/>
      <c r="AK93" s="17"/>
    </row>
    <row r="94" spans="1:37" ht="15.75" customHeight="1" x14ac:dyDescent="0.3">
      <c r="A94" s="18">
        <f t="shared" si="0"/>
        <v>50</v>
      </c>
      <c r="B94" s="19" t="s">
        <v>51</v>
      </c>
      <c r="C94" s="19" t="s">
        <v>100</v>
      </c>
      <c r="D94" s="38" t="s">
        <v>107</v>
      </c>
      <c r="E94" s="21">
        <v>38</v>
      </c>
      <c r="F94" s="22">
        <v>0</v>
      </c>
      <c r="G94" s="21">
        <f t="shared" si="29"/>
        <v>38</v>
      </c>
      <c r="H94" s="19" t="s">
        <v>41</v>
      </c>
      <c r="I94" s="23">
        <v>187.5</v>
      </c>
      <c r="J94" s="23">
        <v>154.89130434782609</v>
      </c>
      <c r="K94" s="23">
        <f t="shared" si="30"/>
        <v>1.9361413043478262</v>
      </c>
      <c r="L94" s="23">
        <f t="shared" si="6"/>
        <v>46</v>
      </c>
      <c r="M94" s="23">
        <v>1687.5</v>
      </c>
      <c r="N94" s="24">
        <f t="shared" si="7"/>
        <v>7125</v>
      </c>
      <c r="O94" s="24">
        <f t="shared" si="31"/>
        <v>64125</v>
      </c>
      <c r="P94" s="24">
        <f t="shared" si="8"/>
        <v>71250</v>
      </c>
      <c r="Q94" s="25"/>
      <c r="R94" s="17"/>
      <c r="S94" s="17"/>
      <c r="T94" s="17"/>
      <c r="U94" s="17"/>
      <c r="V94" s="17"/>
      <c r="W94" s="17"/>
      <c r="X94" s="17"/>
      <c r="Y94" s="17"/>
      <c r="Z94" s="17"/>
      <c r="AA94" s="17"/>
      <c r="AB94" s="17"/>
      <c r="AC94" s="17"/>
      <c r="AD94" s="17"/>
      <c r="AE94" s="17"/>
      <c r="AF94" s="17"/>
      <c r="AG94" s="17"/>
      <c r="AH94" s="17"/>
      <c r="AI94" s="17"/>
      <c r="AJ94" s="17"/>
      <c r="AK94" s="17"/>
    </row>
    <row r="95" spans="1:37" ht="15.75" customHeight="1" x14ac:dyDescent="0.3">
      <c r="A95" s="18">
        <f t="shared" si="0"/>
        <v>51</v>
      </c>
      <c r="B95" s="19" t="s">
        <v>51</v>
      </c>
      <c r="C95" s="19" t="s">
        <v>100</v>
      </c>
      <c r="D95" s="38" t="s">
        <v>108</v>
      </c>
      <c r="E95" s="21">
        <v>60</v>
      </c>
      <c r="F95" s="22">
        <v>0</v>
      </c>
      <c r="G95" s="21">
        <f t="shared" si="29"/>
        <v>60</v>
      </c>
      <c r="H95" s="19" t="s">
        <v>41</v>
      </c>
      <c r="I95" s="23">
        <v>102.5</v>
      </c>
      <c r="J95" s="23">
        <v>133.69565217391303</v>
      </c>
      <c r="K95" s="23">
        <f t="shared" si="30"/>
        <v>1.6711956521739129</v>
      </c>
      <c r="L95" s="23">
        <f t="shared" si="6"/>
        <v>46</v>
      </c>
      <c r="M95" s="23">
        <v>922.5</v>
      </c>
      <c r="N95" s="24">
        <f t="shared" si="7"/>
        <v>6149.9999999999991</v>
      </c>
      <c r="O95" s="24">
        <f t="shared" si="31"/>
        <v>55350</v>
      </c>
      <c r="P95" s="24">
        <f t="shared" si="8"/>
        <v>61500</v>
      </c>
      <c r="Q95" s="25"/>
      <c r="R95" s="17"/>
      <c r="S95" s="17"/>
      <c r="T95" s="17"/>
      <c r="U95" s="17"/>
      <c r="V95" s="17"/>
      <c r="W95" s="17"/>
      <c r="X95" s="17"/>
      <c r="Y95" s="17"/>
      <c r="Z95" s="17"/>
      <c r="AA95" s="17"/>
      <c r="AB95" s="17"/>
      <c r="AC95" s="17"/>
      <c r="AD95" s="17"/>
      <c r="AE95" s="17"/>
      <c r="AF95" s="17"/>
      <c r="AG95" s="17"/>
      <c r="AH95" s="17"/>
      <c r="AI95" s="17"/>
      <c r="AJ95" s="17"/>
      <c r="AK95" s="17"/>
    </row>
    <row r="96" spans="1:37" ht="15.75" customHeight="1" x14ac:dyDescent="0.3">
      <c r="A96" s="18">
        <f t="shared" si="0"/>
        <v>52</v>
      </c>
      <c r="B96" s="19" t="s">
        <v>51</v>
      </c>
      <c r="C96" s="19" t="s">
        <v>100</v>
      </c>
      <c r="D96" s="38" t="s">
        <v>109</v>
      </c>
      <c r="E96" s="21">
        <v>48</v>
      </c>
      <c r="F96" s="22">
        <v>0</v>
      </c>
      <c r="G96" s="21">
        <f t="shared" si="29"/>
        <v>48</v>
      </c>
      <c r="H96" s="19" t="s">
        <v>41</v>
      </c>
      <c r="I96" s="23">
        <v>102.5</v>
      </c>
      <c r="J96" s="23">
        <v>106.95652173913044</v>
      </c>
      <c r="K96" s="23">
        <f t="shared" si="30"/>
        <v>1.3369565217391304</v>
      </c>
      <c r="L96" s="23">
        <f t="shared" si="6"/>
        <v>46</v>
      </c>
      <c r="M96" s="23">
        <v>922.5</v>
      </c>
      <c r="N96" s="24">
        <f t="shared" si="7"/>
        <v>4920</v>
      </c>
      <c r="O96" s="24">
        <f t="shared" si="31"/>
        <v>44280</v>
      </c>
      <c r="P96" s="24">
        <f t="shared" si="8"/>
        <v>49200</v>
      </c>
      <c r="Q96" s="25"/>
      <c r="R96" s="17"/>
      <c r="S96" s="17"/>
      <c r="T96" s="17"/>
      <c r="U96" s="17"/>
      <c r="V96" s="17"/>
      <c r="W96" s="17"/>
      <c r="X96" s="17"/>
      <c r="Y96" s="17"/>
      <c r="Z96" s="17"/>
      <c r="AA96" s="17"/>
      <c r="AB96" s="17"/>
      <c r="AC96" s="17"/>
      <c r="AD96" s="17"/>
      <c r="AE96" s="17"/>
      <c r="AF96" s="17"/>
      <c r="AG96" s="17"/>
      <c r="AH96" s="17"/>
      <c r="AI96" s="17"/>
      <c r="AJ96" s="17"/>
      <c r="AK96" s="17"/>
    </row>
    <row r="97" spans="1:37" ht="15.75" customHeight="1" x14ac:dyDescent="0.3">
      <c r="A97" s="18">
        <f t="shared" si="0"/>
        <v>53</v>
      </c>
      <c r="B97" s="19" t="s">
        <v>51</v>
      </c>
      <c r="C97" s="19" t="s">
        <v>100</v>
      </c>
      <c r="D97" s="38" t="s">
        <v>110</v>
      </c>
      <c r="E97" s="21">
        <v>93</v>
      </c>
      <c r="F97" s="22">
        <v>0</v>
      </c>
      <c r="G97" s="21">
        <f t="shared" si="29"/>
        <v>93</v>
      </c>
      <c r="H97" s="19" t="s">
        <v>41</v>
      </c>
      <c r="I97" s="23">
        <v>87.5</v>
      </c>
      <c r="J97" s="23">
        <v>176.90217391304347</v>
      </c>
      <c r="K97" s="23">
        <f t="shared" si="30"/>
        <v>2.2112771739130435</v>
      </c>
      <c r="L97" s="23">
        <f t="shared" si="6"/>
        <v>46</v>
      </c>
      <c r="M97" s="23">
        <v>787.5</v>
      </c>
      <c r="N97" s="24">
        <f t="shared" si="7"/>
        <v>8137.5</v>
      </c>
      <c r="O97" s="24">
        <f t="shared" si="31"/>
        <v>73237.5</v>
      </c>
      <c r="P97" s="24">
        <f t="shared" si="8"/>
        <v>81375</v>
      </c>
      <c r="Q97" s="25"/>
      <c r="R97" s="17"/>
      <c r="S97" s="17"/>
      <c r="T97" s="17"/>
      <c r="U97" s="17"/>
      <c r="V97" s="17"/>
      <c r="W97" s="17"/>
      <c r="X97" s="17"/>
      <c r="Y97" s="17"/>
      <c r="Z97" s="17"/>
      <c r="AA97" s="17"/>
      <c r="AB97" s="17"/>
      <c r="AC97" s="17"/>
      <c r="AD97" s="17"/>
      <c r="AE97" s="17"/>
      <c r="AF97" s="17"/>
      <c r="AG97" s="17"/>
      <c r="AH97" s="17"/>
      <c r="AI97" s="17"/>
      <c r="AJ97" s="17"/>
      <c r="AK97" s="17"/>
    </row>
    <row r="98" spans="1:37" ht="15.75" customHeight="1" x14ac:dyDescent="0.3">
      <c r="A98" s="18">
        <f t="shared" si="0"/>
        <v>54</v>
      </c>
      <c r="B98" s="19" t="s">
        <v>51</v>
      </c>
      <c r="C98" s="19" t="s">
        <v>100</v>
      </c>
      <c r="D98" s="38" t="s">
        <v>111</v>
      </c>
      <c r="E98" s="21">
        <v>76</v>
      </c>
      <c r="F98" s="22">
        <v>0</v>
      </c>
      <c r="G98" s="21">
        <f t="shared" si="29"/>
        <v>76</v>
      </c>
      <c r="H98" s="19" t="s">
        <v>41</v>
      </c>
      <c r="I98" s="23">
        <v>87.5</v>
      </c>
      <c r="J98" s="23">
        <v>144.56521739130434</v>
      </c>
      <c r="K98" s="23">
        <f t="shared" si="30"/>
        <v>1.8070652173913042</v>
      </c>
      <c r="L98" s="23">
        <f t="shared" si="6"/>
        <v>46</v>
      </c>
      <c r="M98" s="23">
        <v>787.5</v>
      </c>
      <c r="N98" s="24">
        <f t="shared" si="7"/>
        <v>6650</v>
      </c>
      <c r="O98" s="24">
        <f t="shared" si="31"/>
        <v>59850</v>
      </c>
      <c r="P98" s="24">
        <f t="shared" si="8"/>
        <v>66500</v>
      </c>
      <c r="Q98" s="25"/>
      <c r="R98" s="17"/>
      <c r="S98" s="17"/>
      <c r="T98" s="17"/>
      <c r="U98" s="17"/>
      <c r="V98" s="17"/>
      <c r="W98" s="17"/>
      <c r="X98" s="17"/>
      <c r="Y98" s="17"/>
      <c r="Z98" s="17"/>
      <c r="AA98" s="17"/>
      <c r="AB98" s="17"/>
      <c r="AC98" s="17"/>
      <c r="AD98" s="17"/>
      <c r="AE98" s="17"/>
      <c r="AF98" s="17"/>
      <c r="AG98" s="17"/>
      <c r="AH98" s="17"/>
      <c r="AI98" s="17"/>
      <c r="AJ98" s="17"/>
      <c r="AK98" s="17"/>
    </row>
    <row r="99" spans="1:37" ht="15.75" customHeight="1" x14ac:dyDescent="0.3">
      <c r="A99" s="18">
        <f t="shared" si="0"/>
        <v>55</v>
      </c>
      <c r="B99" s="19" t="s">
        <v>51</v>
      </c>
      <c r="C99" s="19" t="s">
        <v>100</v>
      </c>
      <c r="D99" s="38" t="s">
        <v>112</v>
      </c>
      <c r="E99" s="21">
        <v>48</v>
      </c>
      <c r="F99" s="22">
        <v>0</v>
      </c>
      <c r="G99" s="21">
        <f t="shared" si="29"/>
        <v>48</v>
      </c>
      <c r="H99" s="19" t="s">
        <v>41</v>
      </c>
      <c r="I99" s="23">
        <v>90</v>
      </c>
      <c r="J99" s="23">
        <v>93.913043478260875</v>
      </c>
      <c r="K99" s="23">
        <f t="shared" si="30"/>
        <v>1.173913043478261</v>
      </c>
      <c r="L99" s="23">
        <f t="shared" si="6"/>
        <v>46</v>
      </c>
      <c r="M99" s="23">
        <v>810</v>
      </c>
      <c r="N99" s="24">
        <f t="shared" si="7"/>
        <v>4320</v>
      </c>
      <c r="O99" s="24">
        <f t="shared" si="31"/>
        <v>38880</v>
      </c>
      <c r="P99" s="24">
        <f t="shared" si="8"/>
        <v>43200</v>
      </c>
      <c r="Q99" s="25"/>
      <c r="R99" s="17"/>
      <c r="S99" s="17"/>
      <c r="T99" s="17"/>
      <c r="U99" s="17"/>
      <c r="V99" s="17"/>
      <c r="W99" s="17"/>
      <c r="X99" s="17"/>
      <c r="Y99" s="17"/>
      <c r="Z99" s="17"/>
      <c r="AA99" s="17"/>
      <c r="AB99" s="17"/>
      <c r="AC99" s="17"/>
      <c r="AD99" s="17"/>
      <c r="AE99" s="17"/>
      <c r="AF99" s="17"/>
      <c r="AG99" s="17"/>
      <c r="AH99" s="17"/>
      <c r="AI99" s="17"/>
      <c r="AJ99" s="17"/>
      <c r="AK99" s="17"/>
    </row>
    <row r="100" spans="1:37" ht="15.75" customHeight="1" x14ac:dyDescent="0.3">
      <c r="A100" s="18">
        <f t="shared" si="0"/>
        <v>56</v>
      </c>
      <c r="B100" s="19" t="s">
        <v>51</v>
      </c>
      <c r="C100" s="19" t="s">
        <v>100</v>
      </c>
      <c r="D100" s="20" t="s">
        <v>113</v>
      </c>
      <c r="E100" s="21">
        <v>66</v>
      </c>
      <c r="F100" s="22">
        <v>0</v>
      </c>
      <c r="G100" s="21">
        <f t="shared" si="29"/>
        <v>66</v>
      </c>
      <c r="H100" s="19" t="s">
        <v>41</v>
      </c>
      <c r="I100" s="23">
        <v>92.5</v>
      </c>
      <c r="J100" s="23">
        <v>132.71739130434781</v>
      </c>
      <c r="K100" s="23">
        <f t="shared" si="30"/>
        <v>1.6589673913043477</v>
      </c>
      <c r="L100" s="23">
        <f t="shared" si="6"/>
        <v>46</v>
      </c>
      <c r="M100" s="23">
        <v>832.5</v>
      </c>
      <c r="N100" s="24">
        <f t="shared" si="7"/>
        <v>6104.9999999999991</v>
      </c>
      <c r="O100" s="24">
        <f t="shared" si="31"/>
        <v>54945</v>
      </c>
      <c r="P100" s="24">
        <f t="shared" si="8"/>
        <v>61050</v>
      </c>
      <c r="Q100" s="25"/>
      <c r="R100" s="17"/>
      <c r="S100" s="17"/>
      <c r="T100" s="17"/>
      <c r="U100" s="17"/>
      <c r="V100" s="17"/>
      <c r="W100" s="17"/>
      <c r="X100" s="17"/>
      <c r="Y100" s="17"/>
      <c r="Z100" s="17"/>
      <c r="AA100" s="17"/>
      <c r="AB100" s="17"/>
      <c r="AC100" s="17"/>
      <c r="AD100" s="17"/>
      <c r="AE100" s="17"/>
      <c r="AF100" s="17"/>
      <c r="AG100" s="17"/>
      <c r="AH100" s="17"/>
      <c r="AI100" s="17"/>
      <c r="AJ100" s="17"/>
      <c r="AK100" s="17"/>
    </row>
    <row r="101" spans="1:37" ht="15.75" customHeight="1" x14ac:dyDescent="0.3">
      <c r="A101" s="18">
        <f t="shared" si="0"/>
        <v>57</v>
      </c>
      <c r="B101" s="19" t="s">
        <v>51</v>
      </c>
      <c r="C101" s="19" t="s">
        <v>100</v>
      </c>
      <c r="D101" s="20" t="s">
        <v>114</v>
      </c>
      <c r="E101" s="21">
        <v>4</v>
      </c>
      <c r="F101" s="22">
        <v>0</v>
      </c>
      <c r="G101" s="21">
        <f t="shared" si="29"/>
        <v>4</v>
      </c>
      <c r="H101" s="19" t="s">
        <v>41</v>
      </c>
      <c r="I101" s="23">
        <v>85</v>
      </c>
      <c r="J101" s="23">
        <v>7.3913043478260869</v>
      </c>
      <c r="K101" s="23">
        <f t="shared" si="30"/>
        <v>9.2391304347826081E-2</v>
      </c>
      <c r="L101" s="23">
        <f t="shared" si="6"/>
        <v>46</v>
      </c>
      <c r="M101" s="23">
        <v>765</v>
      </c>
      <c r="N101" s="24">
        <f t="shared" si="7"/>
        <v>340</v>
      </c>
      <c r="O101" s="24">
        <f t="shared" si="31"/>
        <v>3060</v>
      </c>
      <c r="P101" s="24">
        <f t="shared" si="8"/>
        <v>3400</v>
      </c>
      <c r="Q101" s="25"/>
      <c r="R101" s="17"/>
      <c r="S101" s="17"/>
      <c r="T101" s="17"/>
      <c r="U101" s="17"/>
      <c r="V101" s="17"/>
      <c r="W101" s="17"/>
      <c r="X101" s="17"/>
      <c r="Y101" s="17"/>
      <c r="Z101" s="17"/>
      <c r="AA101" s="17"/>
      <c r="AB101" s="17"/>
      <c r="AC101" s="17"/>
      <c r="AD101" s="17"/>
      <c r="AE101" s="17"/>
      <c r="AF101" s="17"/>
      <c r="AG101" s="17"/>
      <c r="AH101" s="17"/>
      <c r="AI101" s="17"/>
      <c r="AJ101" s="17"/>
      <c r="AK101" s="17"/>
    </row>
    <row r="102" spans="1:37" ht="15.75" customHeight="1" x14ac:dyDescent="0.3">
      <c r="A102" s="18">
        <f t="shared" si="0"/>
        <v>58</v>
      </c>
      <c r="B102" s="19" t="s">
        <v>51</v>
      </c>
      <c r="C102" s="19" t="s">
        <v>100</v>
      </c>
      <c r="D102" s="38" t="s">
        <v>115</v>
      </c>
      <c r="E102" s="21">
        <v>44</v>
      </c>
      <c r="F102" s="22">
        <v>0</v>
      </c>
      <c r="G102" s="21">
        <f t="shared" si="29"/>
        <v>44</v>
      </c>
      <c r="H102" s="19" t="s">
        <v>41</v>
      </c>
      <c r="I102" s="23">
        <v>85</v>
      </c>
      <c r="J102" s="23">
        <v>81.304347826086953</v>
      </c>
      <c r="K102" s="23">
        <f t="shared" si="30"/>
        <v>1.0163043478260869</v>
      </c>
      <c r="L102" s="23">
        <f t="shared" si="6"/>
        <v>46</v>
      </c>
      <c r="M102" s="23">
        <v>765</v>
      </c>
      <c r="N102" s="24">
        <f t="shared" si="7"/>
        <v>3740</v>
      </c>
      <c r="O102" s="24">
        <f t="shared" si="31"/>
        <v>33660</v>
      </c>
      <c r="P102" s="24">
        <f t="shared" si="8"/>
        <v>37400</v>
      </c>
      <c r="Q102" s="25"/>
      <c r="R102" s="17"/>
      <c r="S102" s="17"/>
      <c r="T102" s="17"/>
      <c r="U102" s="17"/>
      <c r="V102" s="17"/>
      <c r="W102" s="17"/>
      <c r="X102" s="17"/>
      <c r="Y102" s="17"/>
      <c r="Z102" s="17"/>
      <c r="AA102" s="17"/>
      <c r="AB102" s="17"/>
      <c r="AC102" s="17"/>
      <c r="AD102" s="17"/>
      <c r="AE102" s="17"/>
      <c r="AF102" s="17"/>
      <c r="AG102" s="17"/>
      <c r="AH102" s="17"/>
      <c r="AI102" s="17"/>
      <c r="AJ102" s="17"/>
      <c r="AK102" s="17"/>
    </row>
    <row r="103" spans="1:37" ht="15.75" customHeight="1" x14ac:dyDescent="0.3">
      <c r="A103" s="18"/>
      <c r="B103" s="19"/>
      <c r="C103" s="19"/>
      <c r="D103" s="38"/>
      <c r="E103" s="21"/>
      <c r="F103" s="22"/>
      <c r="G103" s="21"/>
      <c r="H103" s="19"/>
      <c r="I103" s="23" t="s">
        <v>44</v>
      </c>
      <c r="J103" s="23" t="s">
        <v>44</v>
      </c>
      <c r="K103" s="23" t="str">
        <f t="shared" si="30"/>
        <v/>
      </c>
      <c r="L103" s="23" t="str">
        <f t="shared" si="6"/>
        <v/>
      </c>
      <c r="M103" s="23" t="s">
        <v>44</v>
      </c>
      <c r="N103" s="24" t="str">
        <f t="shared" si="7"/>
        <v/>
      </c>
      <c r="O103" s="24"/>
      <c r="P103" s="24" t="str">
        <f t="shared" si="8"/>
        <v/>
      </c>
      <c r="Q103" s="25"/>
      <c r="R103" s="17"/>
      <c r="S103" s="17"/>
      <c r="T103" s="17"/>
      <c r="U103" s="17"/>
      <c r="V103" s="17"/>
      <c r="W103" s="17"/>
      <c r="X103" s="17"/>
      <c r="Y103" s="17"/>
      <c r="Z103" s="17"/>
      <c r="AA103" s="17"/>
      <c r="AB103" s="17"/>
      <c r="AC103" s="17"/>
      <c r="AD103" s="17"/>
      <c r="AE103" s="17"/>
      <c r="AF103" s="17"/>
      <c r="AG103" s="17"/>
      <c r="AH103" s="17"/>
      <c r="AI103" s="17"/>
      <c r="AJ103" s="17"/>
      <c r="AK103" s="17"/>
    </row>
    <row r="104" spans="1:37" ht="15.75" customHeight="1" x14ac:dyDescent="0.3">
      <c r="A104" s="18" t="str">
        <f>IF(H104&lt;&gt;"",1+MAX($A$1:A102),"")</f>
        <v/>
      </c>
      <c r="B104" s="19"/>
      <c r="C104" s="19"/>
      <c r="D104" s="160" t="s">
        <v>116</v>
      </c>
      <c r="E104" s="21"/>
      <c r="F104" s="22"/>
      <c r="G104" s="21"/>
      <c r="H104" s="19"/>
      <c r="I104" s="23" t="s">
        <v>44</v>
      </c>
      <c r="J104" s="23" t="s">
        <v>44</v>
      </c>
      <c r="K104" s="23" t="str">
        <f t="shared" si="30"/>
        <v/>
      </c>
      <c r="L104" s="23" t="str">
        <f t="shared" si="6"/>
        <v/>
      </c>
      <c r="M104" s="23" t="s">
        <v>44</v>
      </c>
      <c r="N104" s="24" t="str">
        <f t="shared" si="7"/>
        <v/>
      </c>
      <c r="O104" s="24"/>
      <c r="P104" s="24" t="str">
        <f t="shared" si="8"/>
        <v/>
      </c>
      <c r="Q104" s="25"/>
      <c r="R104" s="17"/>
      <c r="S104" s="17"/>
      <c r="T104" s="17"/>
      <c r="U104" s="17"/>
      <c r="V104" s="17"/>
      <c r="W104" s="17"/>
      <c r="X104" s="17"/>
      <c r="Y104" s="17"/>
      <c r="Z104" s="17"/>
      <c r="AA104" s="17"/>
      <c r="AB104" s="17"/>
      <c r="AC104" s="17"/>
      <c r="AD104" s="17"/>
      <c r="AE104" s="17"/>
      <c r="AF104" s="17"/>
      <c r="AG104" s="17"/>
      <c r="AH104" s="17"/>
      <c r="AI104" s="17"/>
      <c r="AJ104" s="17"/>
      <c r="AK104" s="17"/>
    </row>
    <row r="105" spans="1:37" ht="15.75" customHeight="1" x14ac:dyDescent="0.3">
      <c r="A105" s="18">
        <f>IF(H105&lt;&gt;"",1+MAX($A$1:A104),"")</f>
        <v>59</v>
      </c>
      <c r="B105" s="19" t="s">
        <v>51</v>
      </c>
      <c r="C105" s="19" t="s">
        <v>100</v>
      </c>
      <c r="D105" s="20" t="s">
        <v>117</v>
      </c>
      <c r="E105" s="21">
        <v>515</v>
      </c>
      <c r="F105" s="22">
        <v>0</v>
      </c>
      <c r="G105" s="21">
        <f>E105+(E105*F105)</f>
        <v>515</v>
      </c>
      <c r="H105" s="19" t="s">
        <v>41</v>
      </c>
      <c r="I105" s="23">
        <v>66</v>
      </c>
      <c r="J105" s="23">
        <v>738.91304347826087</v>
      </c>
      <c r="K105" s="23">
        <f t="shared" si="30"/>
        <v>9.2364130434782616</v>
      </c>
      <c r="L105" s="23">
        <f t="shared" si="6"/>
        <v>46</v>
      </c>
      <c r="M105" s="23">
        <v>99</v>
      </c>
      <c r="N105" s="24">
        <f t="shared" si="7"/>
        <v>33990</v>
      </c>
      <c r="O105" s="24">
        <f>M105*G105</f>
        <v>50985</v>
      </c>
      <c r="P105" s="24">
        <f t="shared" si="8"/>
        <v>84975</v>
      </c>
      <c r="Q105" s="25"/>
      <c r="R105" s="17"/>
      <c r="S105" s="17"/>
      <c r="T105" s="17"/>
      <c r="U105" s="17"/>
      <c r="V105" s="17"/>
      <c r="W105" s="17"/>
      <c r="X105" s="17"/>
      <c r="Y105" s="17"/>
      <c r="Z105" s="17"/>
      <c r="AA105" s="17"/>
      <c r="AB105" s="17"/>
      <c r="AC105" s="17"/>
      <c r="AD105" s="17"/>
      <c r="AE105" s="17"/>
      <c r="AF105" s="17"/>
      <c r="AG105" s="17"/>
      <c r="AH105" s="17"/>
      <c r="AI105" s="17"/>
      <c r="AJ105" s="17"/>
      <c r="AK105" s="17"/>
    </row>
    <row r="106" spans="1:37" ht="15.75" customHeight="1" x14ac:dyDescent="0.3">
      <c r="A106" s="18" t="str">
        <f>IF(H106&lt;&gt;"",1+MAX($A$1:A102),"")</f>
        <v/>
      </c>
      <c r="B106" s="19"/>
      <c r="C106" s="19"/>
      <c r="D106" s="20"/>
      <c r="E106" s="21"/>
      <c r="F106" s="22"/>
      <c r="G106" s="21"/>
      <c r="H106" s="19"/>
      <c r="I106" s="23" t="s">
        <v>44</v>
      </c>
      <c r="J106" s="23" t="s">
        <v>44</v>
      </c>
      <c r="K106" s="23" t="str">
        <f t="shared" si="30"/>
        <v/>
      </c>
      <c r="L106" s="23" t="str">
        <f t="shared" si="6"/>
        <v/>
      </c>
      <c r="M106" s="23" t="s">
        <v>44</v>
      </c>
      <c r="N106" s="24" t="str">
        <f t="shared" si="7"/>
        <v/>
      </c>
      <c r="O106" s="24"/>
      <c r="P106" s="24" t="str">
        <f t="shared" si="8"/>
        <v/>
      </c>
      <c r="Q106" s="25"/>
      <c r="R106" s="17"/>
      <c r="S106" s="17"/>
      <c r="T106" s="17"/>
      <c r="U106" s="17"/>
      <c r="V106" s="17"/>
      <c r="W106" s="17"/>
      <c r="X106" s="17"/>
      <c r="Y106" s="17"/>
      <c r="Z106" s="17"/>
      <c r="AA106" s="17"/>
      <c r="AB106" s="17"/>
      <c r="AC106" s="17"/>
      <c r="AD106" s="17"/>
      <c r="AE106" s="17"/>
      <c r="AF106" s="17"/>
      <c r="AG106" s="17"/>
      <c r="AH106" s="17"/>
      <c r="AI106" s="17"/>
      <c r="AJ106" s="17"/>
      <c r="AK106" s="17"/>
    </row>
    <row r="107" spans="1:37" ht="15.75" customHeight="1" x14ac:dyDescent="0.3">
      <c r="A107" s="18" t="str">
        <f t="shared" ref="A107:A275" si="32">IF(H107&lt;&gt;"",1+MAX($A$1:A106),"")</f>
        <v/>
      </c>
      <c r="B107" s="19"/>
      <c r="C107" s="19"/>
      <c r="D107" s="160" t="s">
        <v>118</v>
      </c>
      <c r="E107" s="21"/>
      <c r="F107" s="22"/>
      <c r="G107" s="21"/>
      <c r="H107" s="19"/>
      <c r="I107" s="23" t="s">
        <v>44</v>
      </c>
      <c r="J107" s="23" t="s">
        <v>44</v>
      </c>
      <c r="K107" s="23" t="str">
        <f t="shared" si="30"/>
        <v/>
      </c>
      <c r="L107" s="23" t="str">
        <f t="shared" si="6"/>
        <v/>
      </c>
      <c r="M107" s="23" t="s">
        <v>44</v>
      </c>
      <c r="N107" s="24" t="str">
        <f t="shared" si="7"/>
        <v/>
      </c>
      <c r="O107" s="24"/>
      <c r="P107" s="24" t="str">
        <f t="shared" si="8"/>
        <v/>
      </c>
      <c r="Q107" s="25"/>
      <c r="R107" s="17"/>
      <c r="S107" s="17"/>
      <c r="T107" s="17"/>
      <c r="U107" s="17"/>
      <c r="V107" s="17"/>
      <c r="W107" s="17"/>
      <c r="X107" s="17"/>
      <c r="Y107" s="17"/>
      <c r="Z107" s="17"/>
      <c r="AA107" s="17"/>
      <c r="AB107" s="17"/>
      <c r="AC107" s="17"/>
      <c r="AD107" s="17"/>
      <c r="AE107" s="17"/>
      <c r="AF107" s="17"/>
      <c r="AG107" s="17"/>
      <c r="AH107" s="17"/>
      <c r="AI107" s="17"/>
      <c r="AJ107" s="17"/>
      <c r="AK107" s="17"/>
    </row>
    <row r="108" spans="1:37" ht="15.75" customHeight="1" x14ac:dyDescent="0.3">
      <c r="A108" s="18">
        <f t="shared" si="32"/>
        <v>60</v>
      </c>
      <c r="B108" s="19" t="s">
        <v>51</v>
      </c>
      <c r="C108" s="19" t="s">
        <v>100</v>
      </c>
      <c r="D108" s="20" t="s">
        <v>119</v>
      </c>
      <c r="E108" s="21">
        <v>15</v>
      </c>
      <c r="F108" s="22">
        <v>0</v>
      </c>
      <c r="G108" s="21">
        <f t="shared" ref="G108:G112" si="33">E108+(E108*F108)</f>
        <v>15</v>
      </c>
      <c r="H108" s="19" t="s">
        <v>41</v>
      </c>
      <c r="I108" s="23">
        <v>108</v>
      </c>
      <c r="J108" s="23">
        <v>35.217391304347828</v>
      </c>
      <c r="K108" s="23">
        <f t="shared" si="30"/>
        <v>0.44021739130434784</v>
      </c>
      <c r="L108" s="23">
        <f t="shared" si="6"/>
        <v>46</v>
      </c>
      <c r="M108" s="23">
        <v>972</v>
      </c>
      <c r="N108" s="24">
        <f t="shared" si="7"/>
        <v>1620</v>
      </c>
      <c r="O108" s="24">
        <f t="shared" ref="O108:O112" si="34">M108*G108</f>
        <v>14580</v>
      </c>
      <c r="P108" s="24">
        <f t="shared" si="8"/>
        <v>16200</v>
      </c>
      <c r="Q108" s="25"/>
      <c r="R108" s="17"/>
      <c r="S108" s="17"/>
      <c r="T108" s="17"/>
      <c r="U108" s="17"/>
      <c r="V108" s="17"/>
      <c r="W108" s="17"/>
      <c r="X108" s="17"/>
      <c r="Y108" s="17"/>
      <c r="Z108" s="17"/>
      <c r="AA108" s="17"/>
      <c r="AB108" s="17"/>
      <c r="AC108" s="17"/>
      <c r="AD108" s="17"/>
      <c r="AE108" s="17"/>
      <c r="AF108" s="17"/>
      <c r="AG108" s="17"/>
      <c r="AH108" s="17"/>
      <c r="AI108" s="17"/>
      <c r="AJ108" s="17"/>
      <c r="AK108" s="17"/>
    </row>
    <row r="109" spans="1:37" ht="15.75" customHeight="1" x14ac:dyDescent="0.3">
      <c r="A109" s="18">
        <f t="shared" si="32"/>
        <v>61</v>
      </c>
      <c r="B109" s="19" t="s">
        <v>51</v>
      </c>
      <c r="C109" s="19" t="s">
        <v>100</v>
      </c>
      <c r="D109" s="20" t="s">
        <v>120</v>
      </c>
      <c r="E109" s="21">
        <v>33</v>
      </c>
      <c r="F109" s="22">
        <v>0</v>
      </c>
      <c r="G109" s="21">
        <f t="shared" si="33"/>
        <v>33</v>
      </c>
      <c r="H109" s="19" t="s">
        <v>41</v>
      </c>
      <c r="I109" s="23">
        <v>90</v>
      </c>
      <c r="J109" s="23">
        <v>64.565217391304344</v>
      </c>
      <c r="K109" s="23">
        <f t="shared" si="30"/>
        <v>0.80706521739130432</v>
      </c>
      <c r="L109" s="23">
        <f t="shared" si="6"/>
        <v>46</v>
      </c>
      <c r="M109" s="23">
        <v>810</v>
      </c>
      <c r="N109" s="24">
        <f t="shared" si="7"/>
        <v>2970</v>
      </c>
      <c r="O109" s="24">
        <f t="shared" si="34"/>
        <v>26730</v>
      </c>
      <c r="P109" s="24">
        <f t="shared" si="8"/>
        <v>29700</v>
      </c>
      <c r="Q109" s="25"/>
      <c r="R109" s="17"/>
      <c r="S109" s="17"/>
      <c r="T109" s="17"/>
      <c r="U109" s="17"/>
      <c r="V109" s="17"/>
      <c r="W109" s="17"/>
      <c r="X109" s="17"/>
      <c r="Y109" s="17"/>
      <c r="Z109" s="17"/>
      <c r="AA109" s="17"/>
      <c r="AB109" s="17"/>
      <c r="AC109" s="17"/>
      <c r="AD109" s="17"/>
      <c r="AE109" s="17"/>
      <c r="AF109" s="17"/>
      <c r="AG109" s="17"/>
      <c r="AH109" s="17"/>
      <c r="AI109" s="17"/>
      <c r="AJ109" s="17"/>
      <c r="AK109" s="17"/>
    </row>
    <row r="110" spans="1:37" ht="15.75" customHeight="1" x14ac:dyDescent="0.3">
      <c r="A110" s="18">
        <f t="shared" si="32"/>
        <v>62</v>
      </c>
      <c r="B110" s="19" t="s">
        <v>51</v>
      </c>
      <c r="C110" s="19" t="s">
        <v>100</v>
      </c>
      <c r="D110" s="20" t="s">
        <v>121</v>
      </c>
      <c r="E110" s="21">
        <v>4</v>
      </c>
      <c r="F110" s="22">
        <v>0</v>
      </c>
      <c r="G110" s="21">
        <f t="shared" si="33"/>
        <v>4</v>
      </c>
      <c r="H110" s="19" t="s">
        <v>41</v>
      </c>
      <c r="I110" s="23">
        <v>67.5</v>
      </c>
      <c r="J110" s="23">
        <v>5.8695652173913047</v>
      </c>
      <c r="K110" s="23">
        <f t="shared" si="30"/>
        <v>7.3369565217391311E-2</v>
      </c>
      <c r="L110" s="23">
        <f t="shared" si="6"/>
        <v>46</v>
      </c>
      <c r="M110" s="23">
        <v>607.5</v>
      </c>
      <c r="N110" s="24">
        <f t="shared" si="7"/>
        <v>270</v>
      </c>
      <c r="O110" s="24">
        <f t="shared" si="34"/>
        <v>2430</v>
      </c>
      <c r="P110" s="24">
        <f t="shared" si="8"/>
        <v>2700</v>
      </c>
      <c r="Q110" s="25"/>
      <c r="R110" s="17"/>
      <c r="S110" s="17"/>
      <c r="T110" s="17"/>
      <c r="U110" s="17"/>
      <c r="V110" s="17"/>
      <c r="W110" s="17"/>
      <c r="X110" s="17"/>
      <c r="Y110" s="17"/>
      <c r="Z110" s="17"/>
      <c r="AA110" s="17"/>
      <c r="AB110" s="17"/>
      <c r="AC110" s="17"/>
      <c r="AD110" s="17"/>
      <c r="AE110" s="17"/>
      <c r="AF110" s="17"/>
      <c r="AG110" s="17"/>
      <c r="AH110" s="17"/>
      <c r="AI110" s="17"/>
      <c r="AJ110" s="17"/>
      <c r="AK110" s="17"/>
    </row>
    <row r="111" spans="1:37" ht="15.75" customHeight="1" x14ac:dyDescent="0.3">
      <c r="A111" s="18">
        <f t="shared" si="32"/>
        <v>63</v>
      </c>
      <c r="B111" s="19" t="s">
        <v>51</v>
      </c>
      <c r="C111" s="19" t="s">
        <v>100</v>
      </c>
      <c r="D111" s="20" t="s">
        <v>122</v>
      </c>
      <c r="E111" s="21">
        <v>62</v>
      </c>
      <c r="F111" s="22">
        <v>0</v>
      </c>
      <c r="G111" s="21">
        <f t="shared" si="33"/>
        <v>62</v>
      </c>
      <c r="H111" s="19" t="s">
        <v>41</v>
      </c>
      <c r="I111" s="23">
        <v>67.5</v>
      </c>
      <c r="J111" s="23">
        <v>90.978260869565219</v>
      </c>
      <c r="K111" s="23">
        <f t="shared" si="30"/>
        <v>1.1372282608695652</v>
      </c>
      <c r="L111" s="23">
        <f t="shared" si="6"/>
        <v>46</v>
      </c>
      <c r="M111" s="23">
        <v>607.5</v>
      </c>
      <c r="N111" s="24">
        <f t="shared" si="7"/>
        <v>4185</v>
      </c>
      <c r="O111" s="24">
        <f t="shared" si="34"/>
        <v>37665</v>
      </c>
      <c r="P111" s="24">
        <f t="shared" si="8"/>
        <v>41850</v>
      </c>
      <c r="Q111" s="25"/>
      <c r="R111" s="17"/>
      <c r="S111" s="17"/>
      <c r="T111" s="17"/>
      <c r="U111" s="17"/>
      <c r="V111" s="17"/>
      <c r="W111" s="17"/>
      <c r="X111" s="17"/>
      <c r="Y111" s="17"/>
      <c r="Z111" s="17"/>
      <c r="AA111" s="17"/>
      <c r="AB111" s="17"/>
      <c r="AC111" s="17"/>
      <c r="AD111" s="17"/>
      <c r="AE111" s="17"/>
      <c r="AF111" s="17"/>
      <c r="AG111" s="17"/>
      <c r="AH111" s="17"/>
      <c r="AI111" s="17"/>
      <c r="AJ111" s="17"/>
      <c r="AK111" s="17"/>
    </row>
    <row r="112" spans="1:37" ht="15.75" customHeight="1" x14ac:dyDescent="0.3">
      <c r="A112" s="18">
        <f t="shared" si="32"/>
        <v>64</v>
      </c>
      <c r="B112" s="19" t="s">
        <v>51</v>
      </c>
      <c r="C112" s="19" t="s">
        <v>100</v>
      </c>
      <c r="D112" s="20" t="s">
        <v>123</v>
      </c>
      <c r="E112" s="21">
        <v>1</v>
      </c>
      <c r="F112" s="22">
        <v>0</v>
      </c>
      <c r="G112" s="21">
        <f t="shared" si="33"/>
        <v>1</v>
      </c>
      <c r="H112" s="19" t="s">
        <v>41</v>
      </c>
      <c r="I112" s="23">
        <v>86</v>
      </c>
      <c r="J112" s="23">
        <v>1.8695652173913044</v>
      </c>
      <c r="K112" s="23">
        <f t="shared" si="30"/>
        <v>2.3369565217391305E-2</v>
      </c>
      <c r="L112" s="23">
        <f t="shared" si="6"/>
        <v>46</v>
      </c>
      <c r="M112" s="23">
        <v>774</v>
      </c>
      <c r="N112" s="24">
        <f t="shared" si="7"/>
        <v>86</v>
      </c>
      <c r="O112" s="24">
        <f t="shared" si="34"/>
        <v>774</v>
      </c>
      <c r="P112" s="24">
        <f t="shared" si="8"/>
        <v>860</v>
      </c>
      <c r="Q112" s="25"/>
      <c r="R112" s="17"/>
      <c r="S112" s="17"/>
      <c r="T112" s="17"/>
      <c r="U112" s="17"/>
      <c r="V112" s="17"/>
      <c r="W112" s="17"/>
      <c r="X112" s="17"/>
      <c r="Y112" s="17"/>
      <c r="Z112" s="17"/>
      <c r="AA112" s="17"/>
      <c r="AB112" s="17"/>
      <c r="AC112" s="17"/>
      <c r="AD112" s="17"/>
      <c r="AE112" s="17"/>
      <c r="AF112" s="17"/>
      <c r="AG112" s="17"/>
      <c r="AH112" s="17"/>
      <c r="AI112" s="17"/>
      <c r="AJ112" s="17"/>
      <c r="AK112" s="17"/>
    </row>
    <row r="113" spans="1:37" ht="15.75" customHeight="1" x14ac:dyDescent="0.3">
      <c r="A113" s="18" t="str">
        <f t="shared" si="32"/>
        <v/>
      </c>
      <c r="B113" s="19"/>
      <c r="C113" s="19"/>
      <c r="D113" s="20"/>
      <c r="E113" s="21"/>
      <c r="F113" s="22"/>
      <c r="G113" s="21"/>
      <c r="H113" s="19"/>
      <c r="I113" s="23" t="s">
        <v>44</v>
      </c>
      <c r="J113" s="23" t="s">
        <v>44</v>
      </c>
      <c r="K113" s="23" t="str">
        <f t="shared" ref="K113:K114" si="35">IF(H113&lt;&gt;"",(J113/8/$K$26),"")</f>
        <v/>
      </c>
      <c r="L113" s="23" t="str">
        <f t="shared" si="6"/>
        <v/>
      </c>
      <c r="M113" s="23" t="s">
        <v>44</v>
      </c>
      <c r="N113" s="24" t="str">
        <f t="shared" si="7"/>
        <v/>
      </c>
      <c r="O113" s="24"/>
      <c r="P113" s="24" t="str">
        <f t="shared" si="8"/>
        <v/>
      </c>
      <c r="Q113" s="25"/>
      <c r="R113" s="17"/>
      <c r="S113" s="17"/>
      <c r="T113" s="17"/>
      <c r="U113" s="17"/>
      <c r="V113" s="17"/>
      <c r="W113" s="17"/>
      <c r="X113" s="17"/>
      <c r="Y113" s="17"/>
      <c r="Z113" s="17"/>
      <c r="AA113" s="17"/>
      <c r="AB113" s="17"/>
      <c r="AC113" s="17"/>
      <c r="AD113" s="17"/>
      <c r="AE113" s="17"/>
      <c r="AF113" s="17"/>
      <c r="AG113" s="17"/>
      <c r="AH113" s="17"/>
      <c r="AI113" s="17"/>
      <c r="AJ113" s="17"/>
      <c r="AK113" s="17"/>
    </row>
    <row r="114" spans="1:37" ht="15.75" customHeight="1" x14ac:dyDescent="0.3">
      <c r="A114" s="34" t="str">
        <f t="shared" si="32"/>
        <v/>
      </c>
      <c r="B114" s="19"/>
      <c r="C114" s="19"/>
      <c r="D114" s="26" t="s">
        <v>35</v>
      </c>
      <c r="E114" s="27"/>
      <c r="F114" s="28"/>
      <c r="G114" s="27"/>
      <c r="H114" s="29"/>
      <c r="I114" s="30" t="s">
        <v>44</v>
      </c>
      <c r="J114" s="30" t="s">
        <v>44</v>
      </c>
      <c r="K114" s="30" t="str">
        <f t="shared" si="35"/>
        <v/>
      </c>
      <c r="L114" s="30" t="str">
        <f t="shared" si="6"/>
        <v/>
      </c>
      <c r="M114" s="30" t="s">
        <v>44</v>
      </c>
      <c r="N114" s="31" t="str">
        <f t="shared" si="7"/>
        <v/>
      </c>
      <c r="O114" s="31"/>
      <c r="P114" s="32" t="str">
        <f t="shared" si="8"/>
        <v/>
      </c>
      <c r="Q114" s="33">
        <f>SUM(P87:P113)</f>
        <v>688350</v>
      </c>
      <c r="R114" s="17"/>
      <c r="S114" s="17"/>
      <c r="T114" s="17"/>
      <c r="U114" s="17"/>
      <c r="V114" s="17"/>
      <c r="W114" s="17"/>
      <c r="X114" s="17"/>
      <c r="Y114" s="17"/>
      <c r="Z114" s="17"/>
      <c r="AA114" s="17"/>
      <c r="AB114" s="17"/>
      <c r="AC114" s="17"/>
      <c r="AD114" s="17"/>
      <c r="AE114" s="17"/>
      <c r="AF114" s="17"/>
      <c r="AG114" s="17"/>
      <c r="AH114" s="17"/>
      <c r="AI114" s="17"/>
      <c r="AJ114" s="17"/>
      <c r="AK114" s="17"/>
    </row>
    <row r="115" spans="1:37" s="158" customFormat="1" ht="15.75" customHeight="1" x14ac:dyDescent="0.3">
      <c r="A115" s="154" t="str">
        <f t="shared" si="32"/>
        <v/>
      </c>
      <c r="B115" s="155"/>
      <c r="C115" s="155" t="s">
        <v>124</v>
      </c>
      <c r="D115" s="155" t="s">
        <v>125</v>
      </c>
      <c r="E115" s="155"/>
      <c r="F115" s="155"/>
      <c r="G115" s="155"/>
      <c r="H115" s="155"/>
      <c r="I115" s="155" t="s">
        <v>44</v>
      </c>
      <c r="J115" s="155" t="s">
        <v>44</v>
      </c>
      <c r="K115" s="159">
        <v>14</v>
      </c>
      <c r="L115" s="155" t="str">
        <f t="shared" si="6"/>
        <v/>
      </c>
      <c r="M115" s="155" t="s">
        <v>44</v>
      </c>
      <c r="N115" s="155" t="str">
        <f t="shared" si="7"/>
        <v/>
      </c>
      <c r="O115" s="155"/>
      <c r="P115" s="155" t="str">
        <f t="shared" si="8"/>
        <v/>
      </c>
      <c r="Q115" s="157"/>
    </row>
    <row r="116" spans="1:37" ht="15.75" customHeight="1" x14ac:dyDescent="0.3">
      <c r="A116" s="34" t="str">
        <f t="shared" si="32"/>
        <v/>
      </c>
      <c r="B116" s="19"/>
      <c r="C116" s="19"/>
      <c r="D116" s="160" t="s">
        <v>126</v>
      </c>
      <c r="E116" s="21"/>
      <c r="F116" s="22"/>
      <c r="G116" s="21"/>
      <c r="H116" s="19"/>
      <c r="I116" s="23" t="s">
        <v>44</v>
      </c>
      <c r="J116" s="23" t="s">
        <v>44</v>
      </c>
      <c r="K116" s="23" t="str">
        <f t="shared" ref="K116:K117" si="36">IF(H116&lt;&gt;"",(J116/8/$K$26),"")</f>
        <v/>
      </c>
      <c r="L116" s="23" t="str">
        <f t="shared" si="6"/>
        <v/>
      </c>
      <c r="M116" s="23" t="s">
        <v>44</v>
      </c>
      <c r="N116" s="24" t="str">
        <f t="shared" si="7"/>
        <v/>
      </c>
      <c r="O116" s="24"/>
      <c r="P116" s="24" t="str">
        <f t="shared" si="8"/>
        <v/>
      </c>
      <c r="Q116" s="25"/>
      <c r="R116" s="17"/>
      <c r="S116" s="17"/>
      <c r="T116" s="17"/>
      <c r="U116" s="17"/>
      <c r="V116" s="17"/>
      <c r="W116" s="17"/>
      <c r="X116" s="17"/>
      <c r="Y116" s="17"/>
      <c r="Z116" s="17"/>
      <c r="AA116" s="17"/>
      <c r="AB116" s="17"/>
      <c r="AC116" s="17"/>
      <c r="AD116" s="17"/>
      <c r="AE116" s="17"/>
      <c r="AF116" s="17"/>
      <c r="AG116" s="17"/>
      <c r="AH116" s="17"/>
      <c r="AI116" s="17"/>
      <c r="AJ116" s="17"/>
      <c r="AK116" s="17"/>
    </row>
    <row r="117" spans="1:37" ht="15.75" customHeight="1" x14ac:dyDescent="0.3">
      <c r="A117" s="34" t="str">
        <f t="shared" si="32"/>
        <v/>
      </c>
      <c r="B117" s="19"/>
      <c r="C117" s="19"/>
      <c r="D117" s="40" t="s">
        <v>127</v>
      </c>
      <c r="E117" s="21"/>
      <c r="F117" s="22"/>
      <c r="G117" s="21"/>
      <c r="H117" s="19"/>
      <c r="I117" s="23" t="s">
        <v>44</v>
      </c>
      <c r="J117" s="23" t="s">
        <v>44</v>
      </c>
      <c r="K117" s="23" t="str">
        <f t="shared" si="36"/>
        <v/>
      </c>
      <c r="L117" s="23" t="str">
        <f t="shared" si="6"/>
        <v/>
      </c>
      <c r="M117" s="23" t="s">
        <v>44</v>
      </c>
      <c r="N117" s="24" t="str">
        <f t="shared" si="7"/>
        <v/>
      </c>
      <c r="O117" s="24"/>
      <c r="P117" s="24" t="str">
        <f t="shared" si="8"/>
        <v/>
      </c>
      <c r="Q117" s="25"/>
      <c r="R117" s="17"/>
      <c r="S117" s="17"/>
      <c r="T117" s="17"/>
      <c r="U117" s="17"/>
      <c r="V117" s="17"/>
      <c r="W117" s="17"/>
      <c r="X117" s="17"/>
      <c r="Y117" s="17"/>
      <c r="Z117" s="17"/>
      <c r="AA117" s="17"/>
      <c r="AB117" s="17"/>
      <c r="AC117" s="17"/>
      <c r="AD117" s="17"/>
      <c r="AE117" s="17"/>
      <c r="AF117" s="17"/>
      <c r="AG117" s="17"/>
      <c r="AH117" s="17"/>
      <c r="AI117" s="17"/>
      <c r="AJ117" s="17"/>
      <c r="AK117" s="17"/>
    </row>
    <row r="118" spans="1:37" ht="15.75" customHeight="1" x14ac:dyDescent="0.3">
      <c r="A118" s="18">
        <f t="shared" si="32"/>
        <v>65</v>
      </c>
      <c r="B118" s="19" t="s">
        <v>51</v>
      </c>
      <c r="C118" s="19" t="s">
        <v>58</v>
      </c>
      <c r="D118" s="20" t="s">
        <v>128</v>
      </c>
      <c r="E118" s="21">
        <f>921*9.5*2</f>
        <v>17499</v>
      </c>
      <c r="F118" s="22">
        <v>0.05</v>
      </c>
      <c r="G118" s="21">
        <f t="shared" ref="G118:G124" si="37">E118+(E118*F118)</f>
        <v>18373.95</v>
      </c>
      <c r="H118" s="19" t="s">
        <v>53</v>
      </c>
      <c r="I118" s="23">
        <v>0.6624000000000001</v>
      </c>
      <c r="J118" s="23">
        <v>264.58488000000006</v>
      </c>
      <c r="K118" s="23">
        <f t="shared" ref="K118:K226" si="38">IF(H118&lt;&gt;"",(J118/8/$K$115),"")</f>
        <v>2.3623650000000005</v>
      </c>
      <c r="L118" s="23">
        <f t="shared" si="6"/>
        <v>46</v>
      </c>
      <c r="M118" s="23">
        <v>0.99360000000000004</v>
      </c>
      <c r="N118" s="24">
        <f t="shared" si="7"/>
        <v>12170.904480000003</v>
      </c>
      <c r="O118" s="24">
        <f t="shared" ref="O118:O124" si="39">M118*G118</f>
        <v>18256.35672</v>
      </c>
      <c r="P118" s="24">
        <f t="shared" si="8"/>
        <v>30427.261200000001</v>
      </c>
      <c r="Q118" s="25"/>
      <c r="R118" s="17"/>
      <c r="S118" s="17"/>
      <c r="T118" s="17"/>
      <c r="U118" s="17"/>
      <c r="V118" s="17"/>
      <c r="W118" s="17"/>
      <c r="X118" s="17"/>
      <c r="Y118" s="17"/>
      <c r="Z118" s="17"/>
      <c r="AA118" s="17"/>
      <c r="AB118" s="17"/>
      <c r="AC118" s="17"/>
      <c r="AD118" s="17"/>
      <c r="AE118" s="17"/>
      <c r="AF118" s="17"/>
      <c r="AG118" s="17"/>
      <c r="AH118" s="17"/>
      <c r="AI118" s="17"/>
      <c r="AJ118" s="17"/>
      <c r="AK118" s="17"/>
    </row>
    <row r="119" spans="1:37" ht="15.75" customHeight="1" x14ac:dyDescent="0.3">
      <c r="A119" s="18">
        <f t="shared" si="32"/>
        <v>66</v>
      </c>
      <c r="B119" s="19" t="s">
        <v>51</v>
      </c>
      <c r="C119" s="19" t="s">
        <v>58</v>
      </c>
      <c r="D119" s="20" t="s">
        <v>129</v>
      </c>
      <c r="E119" s="21">
        <f t="shared" ref="E119:E121" si="40">921*9.5</f>
        <v>8749.5</v>
      </c>
      <c r="F119" s="22">
        <v>0.05</v>
      </c>
      <c r="G119" s="21">
        <f t="shared" si="37"/>
        <v>9186.9750000000004</v>
      </c>
      <c r="H119" s="19" t="s">
        <v>53</v>
      </c>
      <c r="I119" s="23">
        <v>0.8096000000000001</v>
      </c>
      <c r="J119" s="23">
        <v>161.69076000000004</v>
      </c>
      <c r="K119" s="23">
        <f t="shared" si="38"/>
        <v>1.4436675000000003</v>
      </c>
      <c r="L119" s="23">
        <f t="shared" si="6"/>
        <v>46</v>
      </c>
      <c r="M119" s="23">
        <v>1.2143999999999999</v>
      </c>
      <c r="N119" s="24">
        <f t="shared" si="7"/>
        <v>7437.7749600000016</v>
      </c>
      <c r="O119" s="24">
        <f t="shared" si="39"/>
        <v>11156.66244</v>
      </c>
      <c r="P119" s="24">
        <f t="shared" si="8"/>
        <v>18594.437400000003</v>
      </c>
      <c r="Q119" s="25"/>
      <c r="R119" s="17"/>
      <c r="S119" s="17"/>
      <c r="T119" s="17"/>
      <c r="U119" s="17"/>
      <c r="V119" s="17"/>
      <c r="W119" s="17"/>
      <c r="X119" s="17"/>
      <c r="Y119" s="17"/>
      <c r="Z119" s="17"/>
      <c r="AA119" s="17"/>
      <c r="AB119" s="17"/>
      <c r="AC119" s="17"/>
      <c r="AD119" s="17"/>
      <c r="AE119" s="17"/>
      <c r="AF119" s="17"/>
      <c r="AG119" s="17"/>
      <c r="AH119" s="17"/>
      <c r="AI119" s="17"/>
      <c r="AJ119" s="17"/>
      <c r="AK119" s="17"/>
    </row>
    <row r="120" spans="1:37" ht="15.75" customHeight="1" x14ac:dyDescent="0.3">
      <c r="A120" s="18">
        <f t="shared" si="32"/>
        <v>67</v>
      </c>
      <c r="B120" s="19" t="s">
        <v>51</v>
      </c>
      <c r="C120" s="19" t="s">
        <v>58</v>
      </c>
      <c r="D120" s="20" t="s">
        <v>130</v>
      </c>
      <c r="E120" s="21">
        <f t="shared" si="40"/>
        <v>8749.5</v>
      </c>
      <c r="F120" s="22">
        <v>0.05</v>
      </c>
      <c r="G120" s="21">
        <f t="shared" si="37"/>
        <v>9186.9750000000004</v>
      </c>
      <c r="H120" s="19" t="s">
        <v>53</v>
      </c>
      <c r="I120" s="23">
        <v>1.0672000000000001</v>
      </c>
      <c r="J120" s="23">
        <v>213.13782000000003</v>
      </c>
      <c r="K120" s="23">
        <f t="shared" si="38"/>
        <v>1.9030162500000003</v>
      </c>
      <c r="L120" s="23">
        <f t="shared" si="6"/>
        <v>46</v>
      </c>
      <c r="M120" s="23">
        <v>1.6008</v>
      </c>
      <c r="N120" s="24">
        <f t="shared" si="7"/>
        <v>9804.3397200000018</v>
      </c>
      <c r="O120" s="24">
        <f t="shared" si="39"/>
        <v>14706.50958</v>
      </c>
      <c r="P120" s="24">
        <f t="shared" si="8"/>
        <v>24510.849300000002</v>
      </c>
      <c r="Q120" s="25"/>
      <c r="R120" s="17"/>
      <c r="S120" s="17"/>
      <c r="T120" s="17"/>
      <c r="U120" s="17"/>
      <c r="V120" s="17"/>
      <c r="W120" s="17"/>
      <c r="X120" s="17"/>
      <c r="Y120" s="17"/>
      <c r="Z120" s="17"/>
      <c r="AA120" s="17"/>
      <c r="AB120" s="17"/>
      <c r="AC120" s="17"/>
      <c r="AD120" s="17"/>
      <c r="AE120" s="17"/>
      <c r="AF120" s="17"/>
      <c r="AG120" s="17"/>
      <c r="AH120" s="17"/>
      <c r="AI120" s="17"/>
      <c r="AJ120" s="17"/>
      <c r="AK120" s="17"/>
    </row>
    <row r="121" spans="1:37" ht="15.75" customHeight="1" x14ac:dyDescent="0.3">
      <c r="A121" s="18">
        <f t="shared" si="32"/>
        <v>68</v>
      </c>
      <c r="B121" s="19" t="s">
        <v>51</v>
      </c>
      <c r="C121" s="19" t="s">
        <v>58</v>
      </c>
      <c r="D121" s="20" t="s">
        <v>131</v>
      </c>
      <c r="E121" s="21">
        <f t="shared" si="40"/>
        <v>8749.5</v>
      </c>
      <c r="F121" s="22">
        <v>0.05</v>
      </c>
      <c r="G121" s="21">
        <f t="shared" si="37"/>
        <v>9186.9750000000004</v>
      </c>
      <c r="H121" s="19" t="s">
        <v>53</v>
      </c>
      <c r="I121" s="23">
        <v>0.55199999999999994</v>
      </c>
      <c r="J121" s="23">
        <v>110.24369999999999</v>
      </c>
      <c r="K121" s="23">
        <f t="shared" si="38"/>
        <v>0.98431874999999991</v>
      </c>
      <c r="L121" s="23">
        <f t="shared" si="6"/>
        <v>46</v>
      </c>
      <c r="M121" s="23">
        <v>0.82799999999999996</v>
      </c>
      <c r="N121" s="24">
        <f t="shared" si="7"/>
        <v>5071.2101999999995</v>
      </c>
      <c r="O121" s="24">
        <f t="shared" si="39"/>
        <v>7606.8153000000002</v>
      </c>
      <c r="P121" s="24">
        <f t="shared" si="8"/>
        <v>12678.0255</v>
      </c>
      <c r="Q121" s="25"/>
      <c r="R121" s="17"/>
      <c r="S121" s="17"/>
      <c r="T121" s="17"/>
      <c r="U121" s="17"/>
      <c r="V121" s="17"/>
      <c r="W121" s="17"/>
      <c r="X121" s="17"/>
      <c r="Y121" s="17"/>
      <c r="Z121" s="17"/>
      <c r="AA121" s="17"/>
      <c r="AB121" s="17"/>
      <c r="AC121" s="17"/>
      <c r="AD121" s="17"/>
      <c r="AE121" s="17"/>
      <c r="AF121" s="17"/>
      <c r="AG121" s="17"/>
      <c r="AH121" s="17"/>
      <c r="AI121" s="17"/>
      <c r="AJ121" s="17"/>
      <c r="AK121" s="17"/>
    </row>
    <row r="122" spans="1:37" ht="15.75" customHeight="1" x14ac:dyDescent="0.3">
      <c r="A122" s="18">
        <f t="shared" si="32"/>
        <v>69</v>
      </c>
      <c r="B122" s="19" t="s">
        <v>51</v>
      </c>
      <c r="C122" s="19" t="s">
        <v>58</v>
      </c>
      <c r="D122" s="20" t="s">
        <v>132</v>
      </c>
      <c r="E122" s="21">
        <f>8750/1.33</f>
        <v>6578.9473684210525</v>
      </c>
      <c r="F122" s="22">
        <v>0.05</v>
      </c>
      <c r="G122" s="21">
        <f t="shared" si="37"/>
        <v>6907.894736842105</v>
      </c>
      <c r="H122" s="19" t="s">
        <v>43</v>
      </c>
      <c r="I122" s="23">
        <v>2.3920000000000003</v>
      </c>
      <c r="J122" s="23">
        <v>359.21052631578948</v>
      </c>
      <c r="K122" s="23">
        <f t="shared" si="38"/>
        <v>3.2072368421052633</v>
      </c>
      <c r="L122" s="23">
        <f t="shared" si="6"/>
        <v>46</v>
      </c>
      <c r="M122" s="23">
        <v>3.5880000000000001</v>
      </c>
      <c r="N122" s="24">
        <f t="shared" si="7"/>
        <v>16523.684210526317</v>
      </c>
      <c r="O122" s="24">
        <f t="shared" si="39"/>
        <v>24785.526315789473</v>
      </c>
      <c r="P122" s="24">
        <f t="shared" si="8"/>
        <v>41309.210526315786</v>
      </c>
      <c r="Q122" s="25"/>
      <c r="R122" s="17"/>
      <c r="S122" s="17"/>
      <c r="T122" s="17"/>
      <c r="U122" s="17"/>
      <c r="V122" s="17"/>
      <c r="W122" s="17"/>
      <c r="X122" s="17"/>
      <c r="Y122" s="17"/>
      <c r="Z122" s="17"/>
      <c r="AA122" s="17"/>
      <c r="AB122" s="17"/>
      <c r="AC122" s="17"/>
      <c r="AD122" s="17"/>
      <c r="AE122" s="17"/>
      <c r="AF122" s="17"/>
      <c r="AG122" s="17"/>
      <c r="AH122" s="17"/>
      <c r="AI122" s="17"/>
      <c r="AJ122" s="17"/>
      <c r="AK122" s="17"/>
    </row>
    <row r="123" spans="1:37" ht="15.75" customHeight="1" x14ac:dyDescent="0.3">
      <c r="A123" s="18">
        <f t="shared" si="32"/>
        <v>70</v>
      </c>
      <c r="B123" s="19" t="s">
        <v>51</v>
      </c>
      <c r="C123" s="19" t="s">
        <v>58</v>
      </c>
      <c r="D123" s="20" t="s">
        <v>133</v>
      </c>
      <c r="E123" s="21">
        <f t="shared" ref="E123:E124" si="41">921*2</f>
        <v>1842</v>
      </c>
      <c r="F123" s="22">
        <v>0.05</v>
      </c>
      <c r="G123" s="21">
        <f t="shared" si="37"/>
        <v>1934.1</v>
      </c>
      <c r="H123" s="19" t="s">
        <v>43</v>
      </c>
      <c r="I123" s="23">
        <v>1.6559999999999999</v>
      </c>
      <c r="J123" s="23">
        <v>69.627599999999987</v>
      </c>
      <c r="K123" s="23">
        <f t="shared" si="38"/>
        <v>0.62167499999999987</v>
      </c>
      <c r="L123" s="23">
        <f t="shared" si="6"/>
        <v>46</v>
      </c>
      <c r="M123" s="23">
        <v>2.484</v>
      </c>
      <c r="N123" s="24">
        <f t="shared" si="7"/>
        <v>3202.8695999999995</v>
      </c>
      <c r="O123" s="24">
        <f t="shared" si="39"/>
        <v>4804.3044</v>
      </c>
      <c r="P123" s="24">
        <f t="shared" si="8"/>
        <v>8007.1739999999991</v>
      </c>
      <c r="Q123" s="25"/>
      <c r="R123" s="17"/>
      <c r="S123" s="17"/>
      <c r="T123" s="17"/>
      <c r="U123" s="17"/>
      <c r="V123" s="17"/>
      <c r="W123" s="17"/>
      <c r="X123" s="17"/>
      <c r="Y123" s="17"/>
      <c r="Z123" s="17"/>
      <c r="AA123" s="17"/>
      <c r="AB123" s="17"/>
      <c r="AC123" s="17"/>
      <c r="AD123" s="17"/>
      <c r="AE123" s="17"/>
      <c r="AF123" s="17"/>
      <c r="AG123" s="17"/>
      <c r="AH123" s="17"/>
      <c r="AI123" s="17"/>
      <c r="AJ123" s="17"/>
      <c r="AK123" s="17"/>
    </row>
    <row r="124" spans="1:37" ht="15.75" customHeight="1" x14ac:dyDescent="0.3">
      <c r="A124" s="18">
        <f t="shared" si="32"/>
        <v>71</v>
      </c>
      <c r="B124" s="19" t="s">
        <v>51</v>
      </c>
      <c r="C124" s="19" t="s">
        <v>58</v>
      </c>
      <c r="D124" s="20" t="s">
        <v>134</v>
      </c>
      <c r="E124" s="21">
        <f t="shared" si="41"/>
        <v>1842</v>
      </c>
      <c r="F124" s="22">
        <v>0.05</v>
      </c>
      <c r="G124" s="21">
        <f t="shared" si="37"/>
        <v>1934.1</v>
      </c>
      <c r="H124" s="19" t="s">
        <v>43</v>
      </c>
      <c r="I124" s="23">
        <v>0.4</v>
      </c>
      <c r="J124" s="23">
        <v>16.818260869565218</v>
      </c>
      <c r="K124" s="23">
        <f t="shared" si="38"/>
        <v>0.15016304347826087</v>
      </c>
      <c r="L124" s="23">
        <f t="shared" si="6"/>
        <v>46</v>
      </c>
      <c r="M124" s="23">
        <v>0.6</v>
      </c>
      <c r="N124" s="24">
        <f t="shared" si="7"/>
        <v>773.6400000000001</v>
      </c>
      <c r="O124" s="24">
        <f t="shared" si="39"/>
        <v>1160.4599999999998</v>
      </c>
      <c r="P124" s="24">
        <f t="shared" si="8"/>
        <v>1934.1</v>
      </c>
      <c r="Q124" s="25"/>
      <c r="R124" s="17"/>
      <c r="S124" s="17"/>
      <c r="T124" s="17"/>
      <c r="U124" s="17"/>
      <c r="V124" s="17"/>
      <c r="W124" s="17"/>
      <c r="X124" s="17"/>
      <c r="Y124" s="17"/>
      <c r="Z124" s="17"/>
      <c r="AA124" s="17"/>
      <c r="AB124" s="17"/>
      <c r="AC124" s="17"/>
      <c r="AD124" s="17"/>
      <c r="AE124" s="17"/>
      <c r="AF124" s="17"/>
      <c r="AG124" s="17"/>
      <c r="AH124" s="17"/>
      <c r="AI124" s="17"/>
      <c r="AJ124" s="17"/>
      <c r="AK124" s="17"/>
    </row>
    <row r="125" spans="1:37" ht="15.75" customHeight="1" x14ac:dyDescent="0.3">
      <c r="A125" s="18" t="str">
        <f t="shared" si="32"/>
        <v/>
      </c>
      <c r="B125" s="19"/>
      <c r="C125" s="19"/>
      <c r="D125" s="20"/>
      <c r="E125" s="21"/>
      <c r="F125" s="22"/>
      <c r="G125" s="21"/>
      <c r="H125" s="19"/>
      <c r="I125" s="23" t="s">
        <v>44</v>
      </c>
      <c r="J125" s="23" t="s">
        <v>44</v>
      </c>
      <c r="K125" s="23" t="str">
        <f t="shared" si="38"/>
        <v/>
      </c>
      <c r="L125" s="23" t="str">
        <f t="shared" si="6"/>
        <v/>
      </c>
      <c r="M125" s="23" t="s">
        <v>44</v>
      </c>
      <c r="N125" s="24" t="str">
        <f t="shared" si="7"/>
        <v/>
      </c>
      <c r="O125" s="24"/>
      <c r="P125" s="24" t="str">
        <f t="shared" si="8"/>
        <v/>
      </c>
      <c r="Q125" s="25"/>
      <c r="R125" s="17"/>
      <c r="S125" s="17"/>
      <c r="T125" s="17"/>
      <c r="U125" s="17"/>
      <c r="V125" s="17"/>
      <c r="W125" s="17"/>
      <c r="X125" s="17"/>
      <c r="Y125" s="17"/>
      <c r="Z125" s="17"/>
      <c r="AA125" s="17"/>
      <c r="AB125" s="17"/>
      <c r="AC125" s="17"/>
      <c r="AD125" s="17"/>
      <c r="AE125" s="17"/>
      <c r="AF125" s="17"/>
      <c r="AG125" s="17"/>
      <c r="AH125" s="17"/>
      <c r="AI125" s="17"/>
      <c r="AJ125" s="17"/>
      <c r="AK125" s="17"/>
    </row>
    <row r="126" spans="1:37" ht="15.75" customHeight="1" x14ac:dyDescent="0.3">
      <c r="A126" s="18" t="str">
        <f t="shared" si="32"/>
        <v/>
      </c>
      <c r="B126" s="19"/>
      <c r="C126" s="19"/>
      <c r="D126" s="40" t="s">
        <v>135</v>
      </c>
      <c r="E126" s="21"/>
      <c r="F126" s="22"/>
      <c r="G126" s="21"/>
      <c r="H126" s="19"/>
      <c r="I126" s="23" t="s">
        <v>44</v>
      </c>
      <c r="J126" s="23" t="s">
        <v>44</v>
      </c>
      <c r="K126" s="23" t="str">
        <f t="shared" si="38"/>
        <v/>
      </c>
      <c r="L126" s="23" t="str">
        <f t="shared" si="6"/>
        <v/>
      </c>
      <c r="M126" s="23" t="s">
        <v>44</v>
      </c>
      <c r="N126" s="24" t="str">
        <f t="shared" si="7"/>
        <v/>
      </c>
      <c r="O126" s="24"/>
      <c r="P126" s="24" t="str">
        <f t="shared" si="8"/>
        <v/>
      </c>
      <c r="Q126" s="25"/>
      <c r="R126" s="17"/>
      <c r="S126" s="17"/>
      <c r="T126" s="17"/>
      <c r="U126" s="17"/>
      <c r="V126" s="17"/>
      <c r="W126" s="17"/>
      <c r="X126" s="17"/>
      <c r="Y126" s="17"/>
      <c r="Z126" s="17"/>
      <c r="AA126" s="17"/>
      <c r="AB126" s="17"/>
      <c r="AC126" s="17"/>
      <c r="AD126" s="17"/>
      <c r="AE126" s="17"/>
      <c r="AF126" s="17"/>
      <c r="AG126" s="17"/>
      <c r="AH126" s="17"/>
      <c r="AI126" s="17"/>
      <c r="AJ126" s="17"/>
      <c r="AK126" s="17"/>
    </row>
    <row r="127" spans="1:37" ht="15.75" customHeight="1" x14ac:dyDescent="0.3">
      <c r="A127" s="18">
        <f t="shared" si="32"/>
        <v>72</v>
      </c>
      <c r="B127" s="19" t="s">
        <v>51</v>
      </c>
      <c r="C127" s="19" t="s">
        <v>58</v>
      </c>
      <c r="D127" s="20" t="s">
        <v>128</v>
      </c>
      <c r="E127" s="21">
        <f>1300*9.5*2</f>
        <v>24700</v>
      </c>
      <c r="F127" s="22">
        <v>0.05</v>
      </c>
      <c r="G127" s="21">
        <f t="shared" ref="G127:G133" si="42">E127+(E127*F127)</f>
        <v>25935</v>
      </c>
      <c r="H127" s="19" t="s">
        <v>53</v>
      </c>
      <c r="I127" s="23">
        <v>0.6624000000000001</v>
      </c>
      <c r="J127" s="23">
        <v>373.464</v>
      </c>
      <c r="K127" s="23">
        <f t="shared" si="38"/>
        <v>3.3344999999999998</v>
      </c>
      <c r="L127" s="23">
        <f t="shared" si="6"/>
        <v>46</v>
      </c>
      <c r="M127" s="23">
        <v>0.99360000000000004</v>
      </c>
      <c r="N127" s="24">
        <f t="shared" si="7"/>
        <v>17179.344000000001</v>
      </c>
      <c r="O127" s="24">
        <f t="shared" ref="O127:O133" si="43">M127*G127</f>
        <v>25769.016</v>
      </c>
      <c r="P127" s="24">
        <f t="shared" si="8"/>
        <v>42948.36</v>
      </c>
      <c r="Q127" s="25"/>
      <c r="R127" s="17"/>
      <c r="S127" s="17"/>
      <c r="T127" s="17"/>
      <c r="U127" s="17"/>
      <c r="V127" s="17"/>
      <c r="W127" s="17"/>
      <c r="X127" s="17"/>
      <c r="Y127" s="17"/>
      <c r="Z127" s="17"/>
      <c r="AA127" s="17"/>
      <c r="AB127" s="17"/>
      <c r="AC127" s="17"/>
      <c r="AD127" s="17"/>
      <c r="AE127" s="17"/>
      <c r="AF127" s="17"/>
      <c r="AG127" s="17"/>
      <c r="AH127" s="17"/>
      <c r="AI127" s="17"/>
      <c r="AJ127" s="17"/>
      <c r="AK127" s="17"/>
    </row>
    <row r="128" spans="1:37" ht="15.75" customHeight="1" x14ac:dyDescent="0.3">
      <c r="A128" s="18">
        <f t="shared" si="32"/>
        <v>73</v>
      </c>
      <c r="B128" s="19" t="s">
        <v>51</v>
      </c>
      <c r="C128" s="19" t="s">
        <v>58</v>
      </c>
      <c r="D128" s="20" t="s">
        <v>129</v>
      </c>
      <c r="E128" s="21">
        <f t="shared" ref="E128:E130" si="44">1300*9.5</f>
        <v>12350</v>
      </c>
      <c r="F128" s="22">
        <v>0.05</v>
      </c>
      <c r="G128" s="21">
        <f t="shared" si="42"/>
        <v>12967.5</v>
      </c>
      <c r="H128" s="19" t="s">
        <v>53</v>
      </c>
      <c r="I128" s="23">
        <v>0.8096000000000001</v>
      </c>
      <c r="J128" s="23">
        <v>228.22800000000004</v>
      </c>
      <c r="K128" s="23">
        <f t="shared" si="38"/>
        <v>2.0377500000000004</v>
      </c>
      <c r="L128" s="23">
        <f t="shared" si="6"/>
        <v>46</v>
      </c>
      <c r="M128" s="23">
        <v>1.2143999999999999</v>
      </c>
      <c r="N128" s="24">
        <f t="shared" si="7"/>
        <v>10498.488000000001</v>
      </c>
      <c r="O128" s="24">
        <f t="shared" si="43"/>
        <v>15747.731999999998</v>
      </c>
      <c r="P128" s="24">
        <f t="shared" si="8"/>
        <v>26246.22</v>
      </c>
      <c r="Q128" s="25"/>
      <c r="R128" s="17"/>
      <c r="S128" s="17"/>
      <c r="T128" s="17"/>
      <c r="U128" s="17"/>
      <c r="V128" s="17"/>
      <c r="W128" s="17"/>
      <c r="X128" s="17"/>
      <c r="Y128" s="17"/>
      <c r="Z128" s="17"/>
      <c r="AA128" s="17"/>
      <c r="AB128" s="17"/>
      <c r="AC128" s="17"/>
      <c r="AD128" s="17"/>
      <c r="AE128" s="17"/>
      <c r="AF128" s="17"/>
      <c r="AG128" s="17"/>
      <c r="AH128" s="17"/>
      <c r="AI128" s="17"/>
      <c r="AJ128" s="17"/>
      <c r="AK128" s="17"/>
    </row>
    <row r="129" spans="1:37" ht="15.75" customHeight="1" x14ac:dyDescent="0.3">
      <c r="A129" s="18">
        <f t="shared" si="32"/>
        <v>74</v>
      </c>
      <c r="B129" s="19" t="s">
        <v>51</v>
      </c>
      <c r="C129" s="19" t="s">
        <v>58</v>
      </c>
      <c r="D129" s="20" t="s">
        <v>130</v>
      </c>
      <c r="E129" s="21">
        <f t="shared" si="44"/>
        <v>12350</v>
      </c>
      <c r="F129" s="22">
        <v>0.05</v>
      </c>
      <c r="G129" s="21">
        <f t="shared" si="42"/>
        <v>12967.5</v>
      </c>
      <c r="H129" s="19" t="s">
        <v>53</v>
      </c>
      <c r="I129" s="23">
        <v>1.0672000000000001</v>
      </c>
      <c r="J129" s="23">
        <v>300.846</v>
      </c>
      <c r="K129" s="23">
        <f t="shared" si="38"/>
        <v>2.6861250000000001</v>
      </c>
      <c r="L129" s="23">
        <f t="shared" si="6"/>
        <v>46</v>
      </c>
      <c r="M129" s="23">
        <v>1.6008</v>
      </c>
      <c r="N129" s="24">
        <f t="shared" si="7"/>
        <v>13838.916000000001</v>
      </c>
      <c r="O129" s="24">
        <f t="shared" si="43"/>
        <v>20758.374</v>
      </c>
      <c r="P129" s="24">
        <f t="shared" si="8"/>
        <v>34597.29</v>
      </c>
      <c r="Q129" s="25"/>
      <c r="R129" s="17"/>
      <c r="S129" s="17"/>
      <c r="T129" s="17"/>
      <c r="U129" s="17"/>
      <c r="V129" s="17"/>
      <c r="W129" s="17"/>
      <c r="X129" s="17"/>
      <c r="Y129" s="17"/>
      <c r="Z129" s="17"/>
      <c r="AA129" s="17"/>
      <c r="AB129" s="17"/>
      <c r="AC129" s="17"/>
      <c r="AD129" s="17"/>
      <c r="AE129" s="17"/>
      <c r="AF129" s="17"/>
      <c r="AG129" s="17"/>
      <c r="AH129" s="17"/>
      <c r="AI129" s="17"/>
      <c r="AJ129" s="17"/>
      <c r="AK129" s="17"/>
    </row>
    <row r="130" spans="1:37" ht="15.75" customHeight="1" x14ac:dyDescent="0.3">
      <c r="A130" s="18">
        <f t="shared" si="32"/>
        <v>75</v>
      </c>
      <c r="B130" s="19" t="s">
        <v>51</v>
      </c>
      <c r="C130" s="19" t="s">
        <v>58</v>
      </c>
      <c r="D130" s="20" t="s">
        <v>131</v>
      </c>
      <c r="E130" s="21">
        <f t="shared" si="44"/>
        <v>12350</v>
      </c>
      <c r="F130" s="22">
        <v>0.05</v>
      </c>
      <c r="G130" s="21">
        <f t="shared" si="42"/>
        <v>12967.5</v>
      </c>
      <c r="H130" s="19" t="s">
        <v>53</v>
      </c>
      <c r="I130" s="23">
        <v>0.55199999999999994</v>
      </c>
      <c r="J130" s="23">
        <v>155.60999999999999</v>
      </c>
      <c r="K130" s="23">
        <f t="shared" si="38"/>
        <v>1.3893749999999998</v>
      </c>
      <c r="L130" s="23">
        <f t="shared" si="6"/>
        <v>46</v>
      </c>
      <c r="M130" s="23">
        <v>0.82799999999999996</v>
      </c>
      <c r="N130" s="24">
        <f t="shared" si="7"/>
        <v>7158.0599999999995</v>
      </c>
      <c r="O130" s="24">
        <f t="shared" si="43"/>
        <v>10737.09</v>
      </c>
      <c r="P130" s="24">
        <f t="shared" si="8"/>
        <v>17895.150000000001</v>
      </c>
      <c r="Q130" s="25"/>
      <c r="R130" s="17"/>
      <c r="S130" s="17"/>
      <c r="T130" s="17"/>
      <c r="U130" s="17"/>
      <c r="V130" s="17"/>
      <c r="W130" s="17"/>
      <c r="X130" s="17"/>
      <c r="Y130" s="17"/>
      <c r="Z130" s="17"/>
      <c r="AA130" s="17"/>
      <c r="AB130" s="17"/>
      <c r="AC130" s="17"/>
      <c r="AD130" s="17"/>
      <c r="AE130" s="17"/>
      <c r="AF130" s="17"/>
      <c r="AG130" s="17"/>
      <c r="AH130" s="17"/>
      <c r="AI130" s="17"/>
      <c r="AJ130" s="17"/>
      <c r="AK130" s="17"/>
    </row>
    <row r="131" spans="1:37" ht="15.75" customHeight="1" x14ac:dyDescent="0.3">
      <c r="A131" s="18">
        <f t="shared" si="32"/>
        <v>76</v>
      </c>
      <c r="B131" s="19" t="s">
        <v>51</v>
      </c>
      <c r="C131" s="19" t="s">
        <v>58</v>
      </c>
      <c r="D131" s="20" t="s">
        <v>132</v>
      </c>
      <c r="E131" s="21">
        <f>12350/1.33</f>
        <v>9285.7142857142844</v>
      </c>
      <c r="F131" s="22">
        <v>0.05</v>
      </c>
      <c r="G131" s="21">
        <f t="shared" si="42"/>
        <v>9749.9999999999982</v>
      </c>
      <c r="H131" s="19" t="s">
        <v>43</v>
      </c>
      <c r="I131" s="23">
        <v>2.3920000000000003</v>
      </c>
      <c r="J131" s="23">
        <v>507</v>
      </c>
      <c r="K131" s="23">
        <f t="shared" si="38"/>
        <v>4.5267857142857144</v>
      </c>
      <c r="L131" s="23">
        <f t="shared" si="6"/>
        <v>46</v>
      </c>
      <c r="M131" s="23">
        <v>3.5880000000000001</v>
      </c>
      <c r="N131" s="24">
        <f t="shared" si="7"/>
        <v>23322</v>
      </c>
      <c r="O131" s="24">
        <f t="shared" si="43"/>
        <v>34982.999999999993</v>
      </c>
      <c r="P131" s="24">
        <f t="shared" si="8"/>
        <v>58304.999999999993</v>
      </c>
      <c r="Q131" s="25"/>
      <c r="R131" s="17"/>
      <c r="S131" s="17"/>
      <c r="T131" s="17"/>
      <c r="U131" s="17"/>
      <c r="V131" s="17"/>
      <c r="W131" s="17"/>
      <c r="X131" s="17"/>
      <c r="Y131" s="17"/>
      <c r="Z131" s="17"/>
      <c r="AA131" s="17"/>
      <c r="AB131" s="17"/>
      <c r="AC131" s="17"/>
      <c r="AD131" s="17"/>
      <c r="AE131" s="17"/>
      <c r="AF131" s="17"/>
      <c r="AG131" s="17"/>
      <c r="AH131" s="17"/>
      <c r="AI131" s="17"/>
      <c r="AJ131" s="17"/>
      <c r="AK131" s="17"/>
    </row>
    <row r="132" spans="1:37" ht="15.75" customHeight="1" x14ac:dyDescent="0.3">
      <c r="A132" s="18">
        <f t="shared" si="32"/>
        <v>77</v>
      </c>
      <c r="B132" s="19" t="s">
        <v>51</v>
      </c>
      <c r="C132" s="19" t="s">
        <v>58</v>
      </c>
      <c r="D132" s="20" t="s">
        <v>133</v>
      </c>
      <c r="E132" s="21">
        <f t="shared" ref="E132:E133" si="45">1300*2</f>
        <v>2600</v>
      </c>
      <c r="F132" s="22">
        <v>0.05</v>
      </c>
      <c r="G132" s="21">
        <f t="shared" si="42"/>
        <v>2730</v>
      </c>
      <c r="H132" s="19" t="s">
        <v>43</v>
      </c>
      <c r="I132" s="23">
        <v>1.6559999999999999</v>
      </c>
      <c r="J132" s="23">
        <v>98.28</v>
      </c>
      <c r="K132" s="23">
        <f t="shared" si="38"/>
        <v>0.87750000000000006</v>
      </c>
      <c r="L132" s="23">
        <f t="shared" si="6"/>
        <v>46</v>
      </c>
      <c r="M132" s="23">
        <v>2.484</v>
      </c>
      <c r="N132" s="24">
        <f t="shared" si="7"/>
        <v>4520.88</v>
      </c>
      <c r="O132" s="24">
        <f t="shared" si="43"/>
        <v>6781.32</v>
      </c>
      <c r="P132" s="24">
        <f t="shared" si="8"/>
        <v>11302.2</v>
      </c>
      <c r="Q132" s="25"/>
      <c r="R132" s="17"/>
      <c r="S132" s="17"/>
      <c r="T132" s="17"/>
      <c r="U132" s="17"/>
      <c r="V132" s="17"/>
      <c r="W132" s="17"/>
      <c r="X132" s="17"/>
      <c r="Y132" s="17"/>
      <c r="Z132" s="17"/>
      <c r="AA132" s="17"/>
      <c r="AB132" s="17"/>
      <c r="AC132" s="17"/>
      <c r="AD132" s="17"/>
      <c r="AE132" s="17"/>
      <c r="AF132" s="17"/>
      <c r="AG132" s="17"/>
      <c r="AH132" s="17"/>
      <c r="AI132" s="17"/>
      <c r="AJ132" s="17"/>
      <c r="AK132" s="17"/>
    </row>
    <row r="133" spans="1:37" ht="15.75" customHeight="1" x14ac:dyDescent="0.3">
      <c r="A133" s="18">
        <f t="shared" si="32"/>
        <v>78</v>
      </c>
      <c r="B133" s="19" t="s">
        <v>51</v>
      </c>
      <c r="C133" s="19" t="s">
        <v>58</v>
      </c>
      <c r="D133" s="20" t="s">
        <v>134</v>
      </c>
      <c r="E133" s="21">
        <f t="shared" si="45"/>
        <v>2600</v>
      </c>
      <c r="F133" s="22">
        <v>0.05</v>
      </c>
      <c r="G133" s="21">
        <f t="shared" si="42"/>
        <v>2730</v>
      </c>
      <c r="H133" s="19" t="s">
        <v>43</v>
      </c>
      <c r="I133" s="23">
        <v>0.4</v>
      </c>
      <c r="J133" s="23">
        <v>23.739130434782609</v>
      </c>
      <c r="K133" s="23">
        <f t="shared" si="38"/>
        <v>0.21195652173913043</v>
      </c>
      <c r="L133" s="23">
        <f t="shared" si="6"/>
        <v>46</v>
      </c>
      <c r="M133" s="23">
        <v>0.6</v>
      </c>
      <c r="N133" s="24">
        <f t="shared" si="7"/>
        <v>1092</v>
      </c>
      <c r="O133" s="24">
        <f t="shared" si="43"/>
        <v>1638</v>
      </c>
      <c r="P133" s="24">
        <f t="shared" si="8"/>
        <v>2730</v>
      </c>
      <c r="Q133" s="25"/>
      <c r="R133" s="17"/>
      <c r="S133" s="17"/>
      <c r="T133" s="17"/>
      <c r="U133" s="17"/>
      <c r="V133" s="17"/>
      <c r="W133" s="17"/>
      <c r="X133" s="17"/>
      <c r="Y133" s="17"/>
      <c r="Z133" s="17"/>
      <c r="AA133" s="17"/>
      <c r="AB133" s="17"/>
      <c r="AC133" s="17"/>
      <c r="AD133" s="17"/>
      <c r="AE133" s="17"/>
      <c r="AF133" s="17"/>
      <c r="AG133" s="17"/>
      <c r="AH133" s="17"/>
      <c r="AI133" s="17"/>
      <c r="AJ133" s="17"/>
      <c r="AK133" s="17"/>
    </row>
    <row r="134" spans="1:37" ht="15.75" customHeight="1" x14ac:dyDescent="0.3">
      <c r="A134" s="18" t="str">
        <f t="shared" si="32"/>
        <v/>
      </c>
      <c r="B134" s="19"/>
      <c r="C134" s="19"/>
      <c r="D134" s="20"/>
      <c r="E134" s="21"/>
      <c r="F134" s="22"/>
      <c r="G134" s="21"/>
      <c r="H134" s="19"/>
      <c r="I134" s="23" t="s">
        <v>44</v>
      </c>
      <c r="J134" s="23" t="s">
        <v>44</v>
      </c>
      <c r="K134" s="23" t="str">
        <f t="shared" si="38"/>
        <v/>
      </c>
      <c r="L134" s="23" t="str">
        <f t="shared" si="6"/>
        <v/>
      </c>
      <c r="M134" s="23" t="s">
        <v>44</v>
      </c>
      <c r="N134" s="24" t="str">
        <f t="shared" si="7"/>
        <v/>
      </c>
      <c r="O134" s="24"/>
      <c r="P134" s="24" t="str">
        <f t="shared" si="8"/>
        <v/>
      </c>
      <c r="Q134" s="25"/>
      <c r="R134" s="17"/>
      <c r="S134" s="17"/>
      <c r="T134" s="17"/>
      <c r="U134" s="17"/>
      <c r="V134" s="17"/>
      <c r="W134" s="17"/>
      <c r="X134" s="17"/>
      <c r="Y134" s="17"/>
      <c r="Z134" s="17"/>
      <c r="AA134" s="17"/>
      <c r="AB134" s="17"/>
      <c r="AC134" s="17"/>
      <c r="AD134" s="17"/>
      <c r="AE134" s="17"/>
      <c r="AF134" s="17"/>
      <c r="AG134" s="17"/>
      <c r="AH134" s="17"/>
      <c r="AI134" s="17"/>
      <c r="AJ134" s="17"/>
      <c r="AK134" s="17"/>
    </row>
    <row r="135" spans="1:37" ht="15.75" customHeight="1" x14ac:dyDescent="0.3">
      <c r="A135" s="18" t="str">
        <f t="shared" si="32"/>
        <v/>
      </c>
      <c r="B135" s="19"/>
      <c r="C135" s="19"/>
      <c r="D135" s="40" t="s">
        <v>136</v>
      </c>
      <c r="E135" s="21"/>
      <c r="F135" s="22"/>
      <c r="G135" s="21"/>
      <c r="H135" s="19"/>
      <c r="I135" s="23" t="s">
        <v>44</v>
      </c>
      <c r="J135" s="23" t="s">
        <v>44</v>
      </c>
      <c r="K135" s="23" t="str">
        <f t="shared" si="38"/>
        <v/>
      </c>
      <c r="L135" s="23" t="str">
        <f t="shared" si="6"/>
        <v/>
      </c>
      <c r="M135" s="23" t="s">
        <v>44</v>
      </c>
      <c r="N135" s="24" t="str">
        <f t="shared" si="7"/>
        <v/>
      </c>
      <c r="O135" s="24"/>
      <c r="P135" s="24" t="str">
        <f t="shared" si="8"/>
        <v/>
      </c>
      <c r="Q135" s="25"/>
      <c r="R135" s="17"/>
      <c r="S135" s="17"/>
      <c r="T135" s="17"/>
      <c r="U135" s="17"/>
      <c r="V135" s="17"/>
      <c r="W135" s="17"/>
      <c r="X135" s="17"/>
      <c r="Y135" s="17"/>
      <c r="Z135" s="17"/>
      <c r="AA135" s="17"/>
      <c r="AB135" s="17"/>
      <c r="AC135" s="17"/>
      <c r="AD135" s="17"/>
      <c r="AE135" s="17"/>
      <c r="AF135" s="17"/>
      <c r="AG135" s="17"/>
      <c r="AH135" s="17"/>
      <c r="AI135" s="17"/>
      <c r="AJ135" s="17"/>
      <c r="AK135" s="17"/>
    </row>
    <row r="136" spans="1:37" ht="15.75" customHeight="1" x14ac:dyDescent="0.3">
      <c r="A136" s="18">
        <f t="shared" si="32"/>
        <v>79</v>
      </c>
      <c r="B136" s="19" t="s">
        <v>51</v>
      </c>
      <c r="C136" s="19" t="s">
        <v>58</v>
      </c>
      <c r="D136" s="20" t="s">
        <v>137</v>
      </c>
      <c r="E136" s="21">
        <f t="shared" ref="E136:E137" si="46">50*9.5</f>
        <v>475</v>
      </c>
      <c r="F136" s="22">
        <v>0.05</v>
      </c>
      <c r="G136" s="21">
        <f t="shared" ref="G136:G140" si="47">E136+(E136*F136)</f>
        <v>498.75</v>
      </c>
      <c r="H136" s="19" t="s">
        <v>53</v>
      </c>
      <c r="I136" s="23">
        <v>0.6624000000000001</v>
      </c>
      <c r="J136" s="23">
        <v>7.1820000000000013</v>
      </c>
      <c r="K136" s="23">
        <f t="shared" si="38"/>
        <v>6.4125000000000015E-2</v>
      </c>
      <c r="L136" s="23">
        <f t="shared" si="6"/>
        <v>46</v>
      </c>
      <c r="M136" s="23">
        <v>0.99360000000000004</v>
      </c>
      <c r="N136" s="24">
        <f t="shared" si="7"/>
        <v>330.37200000000007</v>
      </c>
      <c r="O136" s="24">
        <f t="shared" ref="O136:O140" si="48">M136*G136</f>
        <v>495.55799999999999</v>
      </c>
      <c r="P136" s="24">
        <f t="shared" si="8"/>
        <v>825.93000000000006</v>
      </c>
      <c r="Q136" s="25"/>
      <c r="R136" s="17"/>
      <c r="S136" s="17"/>
      <c r="T136" s="17"/>
      <c r="U136" s="17"/>
      <c r="V136" s="17"/>
      <c r="W136" s="17"/>
      <c r="X136" s="17"/>
      <c r="Y136" s="17"/>
      <c r="Z136" s="17"/>
      <c r="AA136" s="17"/>
      <c r="AB136" s="17"/>
      <c r="AC136" s="17"/>
      <c r="AD136" s="17"/>
      <c r="AE136" s="17"/>
      <c r="AF136" s="17"/>
      <c r="AG136" s="17"/>
      <c r="AH136" s="17"/>
      <c r="AI136" s="17"/>
      <c r="AJ136" s="17"/>
      <c r="AK136" s="17"/>
    </row>
    <row r="137" spans="1:37" ht="15.75" customHeight="1" x14ac:dyDescent="0.3">
      <c r="A137" s="18">
        <f t="shared" si="32"/>
        <v>80</v>
      </c>
      <c r="B137" s="19" t="s">
        <v>51</v>
      </c>
      <c r="C137" s="19" t="s">
        <v>58</v>
      </c>
      <c r="D137" s="20" t="s">
        <v>130</v>
      </c>
      <c r="E137" s="21">
        <f t="shared" si="46"/>
        <v>475</v>
      </c>
      <c r="F137" s="22">
        <v>0.05</v>
      </c>
      <c r="G137" s="21">
        <f t="shared" si="47"/>
        <v>498.75</v>
      </c>
      <c r="H137" s="19" t="s">
        <v>53</v>
      </c>
      <c r="I137" s="23">
        <v>1.0672000000000001</v>
      </c>
      <c r="J137" s="23">
        <v>11.571000000000002</v>
      </c>
      <c r="K137" s="23">
        <f t="shared" si="38"/>
        <v>0.10331250000000002</v>
      </c>
      <c r="L137" s="23">
        <f t="shared" si="6"/>
        <v>46</v>
      </c>
      <c r="M137" s="23">
        <v>1.6008</v>
      </c>
      <c r="N137" s="24">
        <f t="shared" si="7"/>
        <v>532.26600000000008</v>
      </c>
      <c r="O137" s="24">
        <f t="shared" si="48"/>
        <v>798.399</v>
      </c>
      <c r="P137" s="24">
        <f t="shared" si="8"/>
        <v>1330.665</v>
      </c>
      <c r="Q137" s="25"/>
      <c r="R137" s="17"/>
      <c r="S137" s="17"/>
      <c r="T137" s="17"/>
      <c r="U137" s="17"/>
      <c r="V137" s="17"/>
      <c r="W137" s="17"/>
      <c r="X137" s="17"/>
      <c r="Y137" s="17"/>
      <c r="Z137" s="17"/>
      <c r="AA137" s="17"/>
      <c r="AB137" s="17"/>
      <c r="AC137" s="17"/>
      <c r="AD137" s="17"/>
      <c r="AE137" s="17"/>
      <c r="AF137" s="17"/>
      <c r="AG137" s="17"/>
      <c r="AH137" s="17"/>
      <c r="AI137" s="17"/>
      <c r="AJ137" s="17"/>
      <c r="AK137" s="17"/>
    </row>
    <row r="138" spans="1:37" ht="15.75" customHeight="1" x14ac:dyDescent="0.3">
      <c r="A138" s="18">
        <f t="shared" si="32"/>
        <v>81</v>
      </c>
      <c r="B138" s="19" t="s">
        <v>51</v>
      </c>
      <c r="C138" s="19" t="s">
        <v>58</v>
      </c>
      <c r="D138" s="20" t="s">
        <v>138</v>
      </c>
      <c r="E138" s="21">
        <f>475/1.33</f>
        <v>357.14285714285711</v>
      </c>
      <c r="F138" s="22">
        <v>0.05</v>
      </c>
      <c r="G138" s="21">
        <f t="shared" si="47"/>
        <v>374.99999999999994</v>
      </c>
      <c r="H138" s="19" t="s">
        <v>43</v>
      </c>
      <c r="I138" s="23">
        <v>1.6559999999999999</v>
      </c>
      <c r="J138" s="23">
        <v>13.499999999999998</v>
      </c>
      <c r="K138" s="23">
        <f t="shared" si="38"/>
        <v>0.12053571428571427</v>
      </c>
      <c r="L138" s="23">
        <f t="shared" si="6"/>
        <v>46</v>
      </c>
      <c r="M138" s="23">
        <v>2.484</v>
      </c>
      <c r="N138" s="24">
        <f t="shared" si="7"/>
        <v>620.99999999999989</v>
      </c>
      <c r="O138" s="24">
        <f t="shared" si="48"/>
        <v>931.49999999999989</v>
      </c>
      <c r="P138" s="24">
        <f t="shared" si="8"/>
        <v>1552.4999999999998</v>
      </c>
      <c r="Q138" s="25"/>
      <c r="R138" s="17"/>
      <c r="S138" s="17"/>
      <c r="T138" s="17"/>
      <c r="U138" s="17"/>
      <c r="V138" s="17"/>
      <c r="W138" s="17"/>
      <c r="X138" s="17"/>
      <c r="Y138" s="17"/>
      <c r="Z138" s="17"/>
      <c r="AA138" s="17"/>
      <c r="AB138" s="17"/>
      <c r="AC138" s="17"/>
      <c r="AD138" s="17"/>
      <c r="AE138" s="17"/>
      <c r="AF138" s="17"/>
      <c r="AG138" s="17"/>
      <c r="AH138" s="17"/>
      <c r="AI138" s="17"/>
      <c r="AJ138" s="17"/>
      <c r="AK138" s="17"/>
    </row>
    <row r="139" spans="1:37" ht="15.75" customHeight="1" x14ac:dyDescent="0.3">
      <c r="A139" s="18">
        <f t="shared" si="32"/>
        <v>82</v>
      </c>
      <c r="B139" s="19" t="s">
        <v>51</v>
      </c>
      <c r="C139" s="19" t="s">
        <v>58</v>
      </c>
      <c r="D139" s="20" t="s">
        <v>139</v>
      </c>
      <c r="E139" s="21">
        <f t="shared" ref="E139:E140" si="49">50*2</f>
        <v>100</v>
      </c>
      <c r="F139" s="22">
        <v>0.05</v>
      </c>
      <c r="G139" s="21">
        <f t="shared" si="47"/>
        <v>105</v>
      </c>
      <c r="H139" s="19" t="s">
        <v>43</v>
      </c>
      <c r="I139" s="23">
        <v>1.1776</v>
      </c>
      <c r="J139" s="23">
        <v>2.6879999999999997</v>
      </c>
      <c r="K139" s="23">
        <f t="shared" si="38"/>
        <v>2.3999999999999997E-2</v>
      </c>
      <c r="L139" s="23">
        <f t="shared" si="6"/>
        <v>46</v>
      </c>
      <c r="M139" s="23">
        <v>1.7664</v>
      </c>
      <c r="N139" s="24">
        <f t="shared" si="7"/>
        <v>123.64799999999998</v>
      </c>
      <c r="O139" s="24">
        <f t="shared" si="48"/>
        <v>185.47200000000001</v>
      </c>
      <c r="P139" s="24">
        <f t="shared" si="8"/>
        <v>309.12</v>
      </c>
      <c r="Q139" s="25"/>
      <c r="R139" s="17"/>
      <c r="S139" s="17"/>
      <c r="T139" s="17"/>
      <c r="U139" s="17"/>
      <c r="V139" s="17"/>
      <c r="W139" s="17"/>
      <c r="X139" s="17"/>
      <c r="Y139" s="17"/>
      <c r="Z139" s="17"/>
      <c r="AA139" s="17"/>
      <c r="AB139" s="17"/>
      <c r="AC139" s="17"/>
      <c r="AD139" s="17"/>
      <c r="AE139" s="17"/>
      <c r="AF139" s="17"/>
      <c r="AG139" s="17"/>
      <c r="AH139" s="17"/>
      <c r="AI139" s="17"/>
      <c r="AJ139" s="17"/>
      <c r="AK139" s="17"/>
    </row>
    <row r="140" spans="1:37" ht="15.75" customHeight="1" x14ac:dyDescent="0.3">
      <c r="A140" s="18">
        <f t="shared" si="32"/>
        <v>83</v>
      </c>
      <c r="B140" s="19" t="s">
        <v>51</v>
      </c>
      <c r="C140" s="19" t="s">
        <v>58</v>
      </c>
      <c r="D140" s="20" t="s">
        <v>134</v>
      </c>
      <c r="E140" s="21">
        <f t="shared" si="49"/>
        <v>100</v>
      </c>
      <c r="F140" s="22">
        <v>0.05</v>
      </c>
      <c r="G140" s="21">
        <f t="shared" si="47"/>
        <v>105</v>
      </c>
      <c r="H140" s="19" t="s">
        <v>43</v>
      </c>
      <c r="I140" s="23">
        <v>0.4</v>
      </c>
      <c r="J140" s="23">
        <v>0.91304347826086951</v>
      </c>
      <c r="K140" s="23">
        <f t="shared" si="38"/>
        <v>8.152173913043478E-3</v>
      </c>
      <c r="L140" s="23">
        <f t="shared" si="6"/>
        <v>46</v>
      </c>
      <c r="M140" s="23">
        <v>0.6</v>
      </c>
      <c r="N140" s="24">
        <f t="shared" si="7"/>
        <v>42</v>
      </c>
      <c r="O140" s="24">
        <f t="shared" si="48"/>
        <v>63</v>
      </c>
      <c r="P140" s="24">
        <f t="shared" si="8"/>
        <v>105</v>
      </c>
      <c r="Q140" s="25"/>
      <c r="R140" s="17"/>
      <c r="S140" s="17"/>
      <c r="T140" s="17"/>
      <c r="U140" s="17"/>
      <c r="V140" s="17"/>
      <c r="W140" s="17"/>
      <c r="X140" s="17"/>
      <c r="Y140" s="17"/>
      <c r="Z140" s="17"/>
      <c r="AA140" s="17"/>
      <c r="AB140" s="17"/>
      <c r="AC140" s="17"/>
      <c r="AD140" s="17"/>
      <c r="AE140" s="17"/>
      <c r="AF140" s="17"/>
      <c r="AG140" s="17"/>
      <c r="AH140" s="17"/>
      <c r="AI140" s="17"/>
      <c r="AJ140" s="17"/>
      <c r="AK140" s="17"/>
    </row>
    <row r="141" spans="1:37" ht="15.75" customHeight="1" x14ac:dyDescent="0.3">
      <c r="A141" s="18" t="str">
        <f t="shared" si="32"/>
        <v/>
      </c>
      <c r="B141" s="19"/>
      <c r="C141" s="19"/>
      <c r="D141" s="20"/>
      <c r="E141" s="21"/>
      <c r="F141" s="22"/>
      <c r="G141" s="21"/>
      <c r="H141" s="19"/>
      <c r="I141" s="23" t="s">
        <v>44</v>
      </c>
      <c r="J141" s="23" t="s">
        <v>44</v>
      </c>
      <c r="K141" s="23" t="str">
        <f t="shared" si="38"/>
        <v/>
      </c>
      <c r="L141" s="23" t="str">
        <f t="shared" si="6"/>
        <v/>
      </c>
      <c r="M141" s="23" t="s">
        <v>44</v>
      </c>
      <c r="N141" s="24" t="str">
        <f t="shared" si="7"/>
        <v/>
      </c>
      <c r="O141" s="24"/>
      <c r="P141" s="24" t="str">
        <f t="shared" si="8"/>
        <v/>
      </c>
      <c r="Q141" s="25"/>
      <c r="R141" s="17"/>
      <c r="S141" s="17"/>
      <c r="T141" s="17"/>
      <c r="U141" s="17"/>
      <c r="V141" s="17"/>
      <c r="W141" s="17"/>
      <c r="X141" s="17"/>
      <c r="Y141" s="17"/>
      <c r="Z141" s="17"/>
      <c r="AA141" s="17"/>
      <c r="AB141" s="17"/>
      <c r="AC141" s="17"/>
      <c r="AD141" s="17"/>
      <c r="AE141" s="17"/>
      <c r="AF141" s="17"/>
      <c r="AG141" s="17"/>
      <c r="AH141" s="17"/>
      <c r="AI141" s="17"/>
      <c r="AJ141" s="17"/>
      <c r="AK141" s="17"/>
    </row>
    <row r="142" spans="1:37" ht="15.75" customHeight="1" x14ac:dyDescent="0.3">
      <c r="A142" s="18" t="str">
        <f t="shared" si="32"/>
        <v/>
      </c>
      <c r="B142" s="19"/>
      <c r="C142" s="19"/>
      <c r="D142" s="40" t="s">
        <v>140</v>
      </c>
      <c r="E142" s="21"/>
      <c r="F142" s="22"/>
      <c r="G142" s="21"/>
      <c r="H142" s="19"/>
      <c r="I142" s="23" t="s">
        <v>44</v>
      </c>
      <c r="J142" s="23" t="s">
        <v>44</v>
      </c>
      <c r="K142" s="23" t="str">
        <f t="shared" si="38"/>
        <v/>
      </c>
      <c r="L142" s="23" t="str">
        <f t="shared" si="6"/>
        <v/>
      </c>
      <c r="M142" s="23" t="s">
        <v>44</v>
      </c>
      <c r="N142" s="24" t="str">
        <f t="shared" si="7"/>
        <v/>
      </c>
      <c r="O142" s="24"/>
      <c r="P142" s="24" t="str">
        <f t="shared" si="8"/>
        <v/>
      </c>
      <c r="Q142" s="25"/>
      <c r="R142" s="17"/>
      <c r="S142" s="17"/>
      <c r="T142" s="17"/>
      <c r="U142" s="17"/>
      <c r="V142" s="17"/>
      <c r="W142" s="17"/>
      <c r="X142" s="17"/>
      <c r="Y142" s="17"/>
      <c r="Z142" s="17"/>
      <c r="AA142" s="17"/>
      <c r="AB142" s="17"/>
      <c r="AC142" s="17"/>
      <c r="AD142" s="17"/>
      <c r="AE142" s="17"/>
      <c r="AF142" s="17"/>
      <c r="AG142" s="17"/>
      <c r="AH142" s="17"/>
      <c r="AI142" s="17"/>
      <c r="AJ142" s="17"/>
      <c r="AK142" s="17"/>
    </row>
    <row r="143" spans="1:37" ht="15.75" customHeight="1" x14ac:dyDescent="0.3">
      <c r="A143" s="18">
        <f t="shared" si="32"/>
        <v>84</v>
      </c>
      <c r="B143" s="19" t="s">
        <v>51</v>
      </c>
      <c r="C143" s="19" t="s">
        <v>58</v>
      </c>
      <c r="D143" s="20" t="s">
        <v>141</v>
      </c>
      <c r="E143" s="21">
        <f>491*8.33</f>
        <v>4090.03</v>
      </c>
      <c r="F143" s="22">
        <v>0.05</v>
      </c>
      <c r="G143" s="21">
        <f t="shared" ref="G143:G146" si="50">E143+(E143*F143)</f>
        <v>4294.5315000000001</v>
      </c>
      <c r="H143" s="19" t="s">
        <v>53</v>
      </c>
      <c r="I143" s="23">
        <v>0.6624000000000001</v>
      </c>
      <c r="J143" s="23">
        <v>61.841253600000016</v>
      </c>
      <c r="K143" s="23">
        <f t="shared" si="38"/>
        <v>0.55215405000000017</v>
      </c>
      <c r="L143" s="23">
        <f t="shared" si="6"/>
        <v>46</v>
      </c>
      <c r="M143" s="23">
        <v>0.99360000000000004</v>
      </c>
      <c r="N143" s="24">
        <f t="shared" si="7"/>
        <v>2844.6976656000006</v>
      </c>
      <c r="O143" s="24">
        <f t="shared" ref="O143:O146" si="51">M143*G143</f>
        <v>4267.0464984</v>
      </c>
      <c r="P143" s="24">
        <f t="shared" si="8"/>
        <v>7111.7441640000006</v>
      </c>
      <c r="Q143" s="25"/>
      <c r="R143" s="17"/>
      <c r="S143" s="17"/>
      <c r="T143" s="17"/>
      <c r="U143" s="17"/>
      <c r="V143" s="17"/>
      <c r="W143" s="17"/>
      <c r="X143" s="17"/>
      <c r="Y143" s="17"/>
      <c r="Z143" s="17"/>
      <c r="AA143" s="17"/>
      <c r="AB143" s="17"/>
      <c r="AC143" s="17"/>
      <c r="AD143" s="17"/>
      <c r="AE143" s="17"/>
      <c r="AF143" s="17"/>
      <c r="AG143" s="17"/>
      <c r="AH143" s="17"/>
      <c r="AI143" s="17"/>
      <c r="AJ143" s="17"/>
      <c r="AK143" s="17"/>
    </row>
    <row r="144" spans="1:37" ht="15.75" customHeight="1" x14ac:dyDescent="0.3">
      <c r="A144" s="18">
        <f t="shared" si="32"/>
        <v>85</v>
      </c>
      <c r="B144" s="19" t="s">
        <v>51</v>
      </c>
      <c r="C144" s="19" t="s">
        <v>58</v>
      </c>
      <c r="D144" s="20" t="s">
        <v>142</v>
      </c>
      <c r="E144" s="21">
        <f>4090/1.33</f>
        <v>3075.187969924812</v>
      </c>
      <c r="F144" s="22">
        <v>0.05</v>
      </c>
      <c r="G144" s="21">
        <f t="shared" si="50"/>
        <v>3228.9473684210525</v>
      </c>
      <c r="H144" s="19" t="s">
        <v>43</v>
      </c>
      <c r="I144" s="23">
        <v>1.288</v>
      </c>
      <c r="J144" s="23">
        <v>90.410526315789468</v>
      </c>
      <c r="K144" s="23">
        <f t="shared" si="38"/>
        <v>0.80723684210526314</v>
      </c>
      <c r="L144" s="23">
        <f t="shared" si="6"/>
        <v>46</v>
      </c>
      <c r="M144" s="23">
        <v>1.9319999999999997</v>
      </c>
      <c r="N144" s="24">
        <f t="shared" si="7"/>
        <v>4158.8842105263157</v>
      </c>
      <c r="O144" s="24">
        <f t="shared" si="51"/>
        <v>6238.3263157894726</v>
      </c>
      <c r="P144" s="24">
        <f t="shared" si="8"/>
        <v>10397.210526315788</v>
      </c>
      <c r="Q144" s="25"/>
      <c r="R144" s="17"/>
      <c r="S144" s="17"/>
      <c r="T144" s="17"/>
      <c r="U144" s="17"/>
      <c r="V144" s="17"/>
      <c r="W144" s="17"/>
      <c r="X144" s="17"/>
      <c r="Y144" s="17"/>
      <c r="Z144" s="17"/>
      <c r="AA144" s="17"/>
      <c r="AB144" s="17"/>
      <c r="AC144" s="17"/>
      <c r="AD144" s="17"/>
      <c r="AE144" s="17"/>
      <c r="AF144" s="17"/>
      <c r="AG144" s="17"/>
      <c r="AH144" s="17"/>
      <c r="AI144" s="17"/>
      <c r="AJ144" s="17"/>
      <c r="AK144" s="17"/>
    </row>
    <row r="145" spans="1:37" ht="15.75" customHeight="1" x14ac:dyDescent="0.3">
      <c r="A145" s="18">
        <f t="shared" si="32"/>
        <v>86</v>
      </c>
      <c r="B145" s="19" t="s">
        <v>51</v>
      </c>
      <c r="C145" s="19" t="s">
        <v>58</v>
      </c>
      <c r="D145" s="20" t="s">
        <v>143</v>
      </c>
      <c r="E145" s="21">
        <f t="shared" ref="E145:E146" si="52">491*2</f>
        <v>982</v>
      </c>
      <c r="F145" s="22">
        <v>0.05</v>
      </c>
      <c r="G145" s="21">
        <f t="shared" si="50"/>
        <v>1031.0999999999999</v>
      </c>
      <c r="H145" s="19" t="s">
        <v>43</v>
      </c>
      <c r="I145" s="23">
        <v>1.0672000000000001</v>
      </c>
      <c r="J145" s="23">
        <v>23.921520000000001</v>
      </c>
      <c r="K145" s="23">
        <f t="shared" si="38"/>
        <v>0.213585</v>
      </c>
      <c r="L145" s="23">
        <f t="shared" si="6"/>
        <v>46</v>
      </c>
      <c r="M145" s="23">
        <v>1.6008</v>
      </c>
      <c r="N145" s="24">
        <f t="shared" si="7"/>
        <v>1100.3899200000001</v>
      </c>
      <c r="O145" s="24">
        <f t="shared" si="51"/>
        <v>1650.5848799999999</v>
      </c>
      <c r="P145" s="24">
        <f t="shared" si="8"/>
        <v>2750.9748</v>
      </c>
      <c r="Q145" s="25"/>
      <c r="R145" s="17"/>
      <c r="S145" s="17"/>
      <c r="T145" s="17"/>
      <c r="U145" s="17"/>
      <c r="V145" s="17"/>
      <c r="W145" s="17"/>
      <c r="X145" s="17"/>
      <c r="Y145" s="17"/>
      <c r="Z145" s="17"/>
      <c r="AA145" s="17"/>
      <c r="AB145" s="17"/>
      <c r="AC145" s="17"/>
      <c r="AD145" s="17"/>
      <c r="AE145" s="17"/>
      <c r="AF145" s="17"/>
      <c r="AG145" s="17"/>
      <c r="AH145" s="17"/>
      <c r="AI145" s="17"/>
      <c r="AJ145" s="17"/>
      <c r="AK145" s="17"/>
    </row>
    <row r="146" spans="1:37" ht="15.75" customHeight="1" x14ac:dyDescent="0.3">
      <c r="A146" s="18">
        <f t="shared" si="32"/>
        <v>87</v>
      </c>
      <c r="B146" s="19" t="s">
        <v>51</v>
      </c>
      <c r="C146" s="19" t="s">
        <v>58</v>
      </c>
      <c r="D146" s="20" t="s">
        <v>134</v>
      </c>
      <c r="E146" s="21">
        <f t="shared" si="52"/>
        <v>982</v>
      </c>
      <c r="F146" s="22">
        <v>0.05</v>
      </c>
      <c r="G146" s="21">
        <f t="shared" si="50"/>
        <v>1031.0999999999999</v>
      </c>
      <c r="H146" s="19" t="s">
        <v>43</v>
      </c>
      <c r="I146" s="23">
        <v>0.4</v>
      </c>
      <c r="J146" s="23">
        <v>8.9660869565217389</v>
      </c>
      <c r="K146" s="23">
        <f t="shared" si="38"/>
        <v>8.0054347826086961E-2</v>
      </c>
      <c r="L146" s="23">
        <f t="shared" si="6"/>
        <v>46</v>
      </c>
      <c r="M146" s="23">
        <v>0.6</v>
      </c>
      <c r="N146" s="24">
        <f t="shared" si="7"/>
        <v>412.44</v>
      </c>
      <c r="O146" s="24">
        <f t="shared" si="51"/>
        <v>618.66</v>
      </c>
      <c r="P146" s="24">
        <f t="shared" si="8"/>
        <v>1031.0999999999999</v>
      </c>
      <c r="Q146" s="25"/>
      <c r="R146" s="17"/>
      <c r="S146" s="17"/>
      <c r="T146" s="17"/>
      <c r="U146" s="17"/>
      <c r="V146" s="17"/>
      <c r="W146" s="17"/>
      <c r="X146" s="17"/>
      <c r="Y146" s="17"/>
      <c r="Z146" s="17"/>
      <c r="AA146" s="17"/>
      <c r="AB146" s="17"/>
      <c r="AC146" s="17"/>
      <c r="AD146" s="17"/>
      <c r="AE146" s="17"/>
      <c r="AF146" s="17"/>
      <c r="AG146" s="17"/>
      <c r="AH146" s="17"/>
      <c r="AI146" s="17"/>
      <c r="AJ146" s="17"/>
      <c r="AK146" s="17"/>
    </row>
    <row r="147" spans="1:37" ht="15.75" customHeight="1" x14ac:dyDescent="0.3">
      <c r="A147" s="18" t="str">
        <f t="shared" si="32"/>
        <v/>
      </c>
      <c r="B147" s="19"/>
      <c r="C147" s="19"/>
      <c r="D147" s="20"/>
      <c r="E147" s="21"/>
      <c r="F147" s="22"/>
      <c r="G147" s="21"/>
      <c r="H147" s="19"/>
      <c r="I147" s="23" t="s">
        <v>44</v>
      </c>
      <c r="J147" s="23" t="s">
        <v>44</v>
      </c>
      <c r="K147" s="23" t="str">
        <f t="shared" si="38"/>
        <v/>
      </c>
      <c r="L147" s="23" t="str">
        <f t="shared" si="6"/>
        <v/>
      </c>
      <c r="M147" s="23" t="s">
        <v>44</v>
      </c>
      <c r="N147" s="24" t="str">
        <f t="shared" si="7"/>
        <v/>
      </c>
      <c r="O147" s="24"/>
      <c r="P147" s="24" t="str">
        <f t="shared" si="8"/>
        <v/>
      </c>
      <c r="Q147" s="25"/>
      <c r="R147" s="17"/>
      <c r="S147" s="17"/>
      <c r="T147" s="17"/>
      <c r="U147" s="17"/>
      <c r="V147" s="17"/>
      <c r="W147" s="17"/>
      <c r="X147" s="17"/>
      <c r="Y147" s="17"/>
      <c r="Z147" s="17"/>
      <c r="AA147" s="17"/>
      <c r="AB147" s="17"/>
      <c r="AC147" s="17"/>
      <c r="AD147" s="17"/>
      <c r="AE147" s="17"/>
      <c r="AF147" s="17"/>
      <c r="AG147" s="17"/>
      <c r="AH147" s="17"/>
      <c r="AI147" s="17"/>
      <c r="AJ147" s="17"/>
      <c r="AK147" s="17"/>
    </row>
    <row r="148" spans="1:37" ht="15.75" customHeight="1" x14ac:dyDescent="0.3">
      <c r="A148" s="18" t="str">
        <f t="shared" si="32"/>
        <v/>
      </c>
      <c r="B148" s="19"/>
      <c r="C148" s="19"/>
      <c r="D148" s="40" t="s">
        <v>144</v>
      </c>
      <c r="E148" s="21"/>
      <c r="F148" s="22"/>
      <c r="G148" s="21"/>
      <c r="H148" s="19"/>
      <c r="I148" s="23" t="s">
        <v>44</v>
      </c>
      <c r="J148" s="23" t="s">
        <v>44</v>
      </c>
      <c r="K148" s="23" t="str">
        <f t="shared" si="38"/>
        <v/>
      </c>
      <c r="L148" s="23" t="str">
        <f t="shared" si="6"/>
        <v/>
      </c>
      <c r="M148" s="23" t="s">
        <v>44</v>
      </c>
      <c r="N148" s="24" t="str">
        <f t="shared" si="7"/>
        <v/>
      </c>
      <c r="O148" s="24"/>
      <c r="P148" s="24" t="str">
        <f t="shared" si="8"/>
        <v/>
      </c>
      <c r="Q148" s="25"/>
      <c r="R148" s="17"/>
      <c r="S148" s="17"/>
      <c r="T148" s="17"/>
      <c r="U148" s="17"/>
      <c r="V148" s="17"/>
      <c r="W148" s="17"/>
      <c r="X148" s="17"/>
      <c r="Y148" s="17"/>
      <c r="Z148" s="17"/>
      <c r="AA148" s="17"/>
      <c r="AB148" s="17"/>
      <c r="AC148" s="17"/>
      <c r="AD148" s="17"/>
      <c r="AE148" s="17"/>
      <c r="AF148" s="17"/>
      <c r="AG148" s="17"/>
      <c r="AH148" s="17"/>
      <c r="AI148" s="17"/>
      <c r="AJ148" s="17"/>
      <c r="AK148" s="17"/>
    </row>
    <row r="149" spans="1:37" ht="15.75" customHeight="1" x14ac:dyDescent="0.3">
      <c r="A149" s="18">
        <f t="shared" si="32"/>
        <v>88</v>
      </c>
      <c r="B149" s="19" t="s">
        <v>51</v>
      </c>
      <c r="C149" s="19" t="s">
        <v>58</v>
      </c>
      <c r="D149" s="20" t="s">
        <v>145</v>
      </c>
      <c r="E149" s="21">
        <f>348*8.33*2</f>
        <v>5797.68</v>
      </c>
      <c r="F149" s="22">
        <v>0.05</v>
      </c>
      <c r="G149" s="21">
        <f t="shared" ref="G149:G153" si="53">E149+(E149*F149)</f>
        <v>6087.5640000000003</v>
      </c>
      <c r="H149" s="19" t="s">
        <v>53</v>
      </c>
      <c r="I149" s="23">
        <v>0.69920000000000004</v>
      </c>
      <c r="J149" s="23">
        <v>92.530972800000001</v>
      </c>
      <c r="K149" s="23">
        <f t="shared" si="38"/>
        <v>0.82616940000000005</v>
      </c>
      <c r="L149" s="23">
        <f t="shared" si="6"/>
        <v>46</v>
      </c>
      <c r="M149" s="23">
        <v>1.0488</v>
      </c>
      <c r="N149" s="24">
        <f t="shared" si="7"/>
        <v>4256.4247488000001</v>
      </c>
      <c r="O149" s="24">
        <f t="shared" ref="O149:O153" si="54">M149*G149</f>
        <v>6384.6371232000001</v>
      </c>
      <c r="P149" s="24">
        <f t="shared" si="8"/>
        <v>10641.061872</v>
      </c>
      <c r="Q149" s="25"/>
      <c r="R149" s="17"/>
      <c r="S149" s="17"/>
      <c r="T149" s="17"/>
      <c r="U149" s="17"/>
      <c r="V149" s="17"/>
      <c r="W149" s="17"/>
      <c r="X149" s="17"/>
      <c r="Y149" s="17"/>
      <c r="Z149" s="17"/>
      <c r="AA149" s="17"/>
      <c r="AB149" s="17"/>
      <c r="AC149" s="17"/>
      <c r="AD149" s="17"/>
      <c r="AE149" s="17"/>
      <c r="AF149" s="17"/>
      <c r="AG149" s="17"/>
      <c r="AH149" s="17"/>
      <c r="AI149" s="17"/>
      <c r="AJ149" s="17"/>
      <c r="AK149" s="17"/>
    </row>
    <row r="150" spans="1:37" ht="15.75" customHeight="1" x14ac:dyDescent="0.3">
      <c r="A150" s="18">
        <f t="shared" si="32"/>
        <v>89</v>
      </c>
      <c r="B150" s="19" t="s">
        <v>51</v>
      </c>
      <c r="C150" s="19" t="s">
        <v>58</v>
      </c>
      <c r="D150" s="20" t="s">
        <v>137</v>
      </c>
      <c r="E150" s="21">
        <f>348*8.33</f>
        <v>2898.84</v>
      </c>
      <c r="F150" s="22">
        <v>0.05</v>
      </c>
      <c r="G150" s="21">
        <f t="shared" si="53"/>
        <v>3043.7820000000002</v>
      </c>
      <c r="H150" s="19" t="s">
        <v>53</v>
      </c>
      <c r="I150" s="23">
        <v>0.6624000000000001</v>
      </c>
      <c r="J150" s="23">
        <v>43.830460800000012</v>
      </c>
      <c r="K150" s="23">
        <f t="shared" si="38"/>
        <v>0.39134340000000012</v>
      </c>
      <c r="L150" s="23">
        <f t="shared" si="6"/>
        <v>46</v>
      </c>
      <c r="M150" s="23">
        <v>0.99360000000000004</v>
      </c>
      <c r="N150" s="24">
        <f t="shared" si="7"/>
        <v>2016.2011968000006</v>
      </c>
      <c r="O150" s="24">
        <f t="shared" si="54"/>
        <v>3024.3017952000005</v>
      </c>
      <c r="P150" s="24">
        <f t="shared" si="8"/>
        <v>5040.5029920000015</v>
      </c>
      <c r="Q150" s="25"/>
      <c r="R150" s="17"/>
      <c r="S150" s="17"/>
      <c r="T150" s="17"/>
      <c r="U150" s="17"/>
      <c r="V150" s="17"/>
      <c r="W150" s="17"/>
      <c r="X150" s="17"/>
      <c r="Y150" s="17"/>
      <c r="Z150" s="17"/>
      <c r="AA150" s="17"/>
      <c r="AB150" s="17"/>
      <c r="AC150" s="17"/>
      <c r="AD150" s="17"/>
      <c r="AE150" s="17"/>
      <c r="AF150" s="17"/>
      <c r="AG150" s="17"/>
      <c r="AH150" s="17"/>
      <c r="AI150" s="17"/>
      <c r="AJ150" s="17"/>
      <c r="AK150" s="17"/>
    </row>
    <row r="151" spans="1:37" ht="15.75" customHeight="1" x14ac:dyDescent="0.3">
      <c r="A151" s="18">
        <f t="shared" si="32"/>
        <v>90</v>
      </c>
      <c r="B151" s="19" t="s">
        <v>51</v>
      </c>
      <c r="C151" s="19" t="s">
        <v>58</v>
      </c>
      <c r="D151" s="20" t="s">
        <v>142</v>
      </c>
      <c r="E151" s="21">
        <f>2899/1.33</f>
        <v>2179.6992481203006</v>
      </c>
      <c r="F151" s="22">
        <v>0.05</v>
      </c>
      <c r="G151" s="21">
        <f t="shared" si="53"/>
        <v>2288.6842105263158</v>
      </c>
      <c r="H151" s="19" t="s">
        <v>43</v>
      </c>
      <c r="I151" s="23">
        <v>1.288</v>
      </c>
      <c r="J151" s="23">
        <v>64.083157894736843</v>
      </c>
      <c r="K151" s="23">
        <f t="shared" si="38"/>
        <v>0.57217105263157897</v>
      </c>
      <c r="L151" s="23">
        <f t="shared" si="6"/>
        <v>46</v>
      </c>
      <c r="M151" s="23">
        <v>1.9319999999999997</v>
      </c>
      <c r="N151" s="24">
        <f t="shared" si="7"/>
        <v>2947.8252631578948</v>
      </c>
      <c r="O151" s="24">
        <f t="shared" si="54"/>
        <v>4421.7378947368416</v>
      </c>
      <c r="P151" s="24">
        <f t="shared" si="8"/>
        <v>7369.5631578947359</v>
      </c>
      <c r="Q151" s="25"/>
      <c r="R151" s="17"/>
      <c r="S151" s="17"/>
      <c r="T151" s="17"/>
      <c r="U151" s="17"/>
      <c r="V151" s="17"/>
      <c r="W151" s="17"/>
      <c r="X151" s="17"/>
      <c r="Y151" s="17"/>
      <c r="Z151" s="17"/>
      <c r="AA151" s="17"/>
      <c r="AB151" s="17"/>
      <c r="AC151" s="17"/>
      <c r="AD151" s="17"/>
      <c r="AE151" s="17"/>
      <c r="AF151" s="17"/>
      <c r="AG151" s="17"/>
      <c r="AH151" s="17"/>
      <c r="AI151" s="17"/>
      <c r="AJ151" s="17"/>
      <c r="AK151" s="17"/>
    </row>
    <row r="152" spans="1:37" ht="15.75" customHeight="1" x14ac:dyDescent="0.3">
      <c r="A152" s="18">
        <f t="shared" si="32"/>
        <v>91</v>
      </c>
      <c r="B152" s="19" t="s">
        <v>51</v>
      </c>
      <c r="C152" s="19" t="s">
        <v>58</v>
      </c>
      <c r="D152" s="20" t="s">
        <v>143</v>
      </c>
      <c r="E152" s="21">
        <f>348*2</f>
        <v>696</v>
      </c>
      <c r="F152" s="22">
        <v>0.05</v>
      </c>
      <c r="G152" s="21">
        <f t="shared" si="53"/>
        <v>730.8</v>
      </c>
      <c r="H152" s="19" t="s">
        <v>43</v>
      </c>
      <c r="I152" s="23">
        <v>1.0672000000000001</v>
      </c>
      <c r="J152" s="23">
        <v>16.954560000000001</v>
      </c>
      <c r="K152" s="23">
        <f t="shared" si="38"/>
        <v>0.15138000000000001</v>
      </c>
      <c r="L152" s="23">
        <f t="shared" si="6"/>
        <v>46</v>
      </c>
      <c r="M152" s="23">
        <v>1.6008</v>
      </c>
      <c r="N152" s="24">
        <f t="shared" si="7"/>
        <v>779.90976000000001</v>
      </c>
      <c r="O152" s="24">
        <f t="shared" si="54"/>
        <v>1169.86464</v>
      </c>
      <c r="P152" s="24">
        <f t="shared" si="8"/>
        <v>1949.7744</v>
      </c>
      <c r="Q152" s="25"/>
      <c r="R152" s="17"/>
      <c r="S152" s="17"/>
      <c r="T152" s="17"/>
      <c r="U152" s="17"/>
      <c r="V152" s="17"/>
      <c r="W152" s="17"/>
      <c r="X152" s="17"/>
      <c r="Y152" s="17"/>
      <c r="Z152" s="17"/>
      <c r="AA152" s="17"/>
      <c r="AB152" s="17"/>
      <c r="AC152" s="17"/>
      <c r="AD152" s="17"/>
      <c r="AE152" s="17"/>
      <c r="AF152" s="17"/>
      <c r="AG152" s="17"/>
      <c r="AH152" s="17"/>
      <c r="AI152" s="17"/>
      <c r="AJ152" s="17"/>
      <c r="AK152" s="17"/>
    </row>
    <row r="153" spans="1:37" ht="15.75" customHeight="1" x14ac:dyDescent="0.3">
      <c r="A153" s="18">
        <f t="shared" si="32"/>
        <v>92</v>
      </c>
      <c r="B153" s="19" t="s">
        <v>51</v>
      </c>
      <c r="C153" s="19" t="s">
        <v>58</v>
      </c>
      <c r="D153" s="20" t="s">
        <v>134</v>
      </c>
      <c r="E153" s="21">
        <f>348*4</f>
        <v>1392</v>
      </c>
      <c r="F153" s="22">
        <v>0.05</v>
      </c>
      <c r="G153" s="21">
        <f t="shared" si="53"/>
        <v>1461.6</v>
      </c>
      <c r="H153" s="19" t="s">
        <v>43</v>
      </c>
      <c r="I153" s="23">
        <v>0.4</v>
      </c>
      <c r="J153" s="23">
        <v>12.709565217391305</v>
      </c>
      <c r="K153" s="23">
        <f t="shared" si="38"/>
        <v>0.11347826086956522</v>
      </c>
      <c r="L153" s="23">
        <f t="shared" si="6"/>
        <v>46</v>
      </c>
      <c r="M153" s="23">
        <v>0.6</v>
      </c>
      <c r="N153" s="24">
        <f t="shared" si="7"/>
        <v>584.64</v>
      </c>
      <c r="O153" s="24">
        <f t="shared" si="54"/>
        <v>876.95999999999992</v>
      </c>
      <c r="P153" s="24">
        <f t="shared" si="8"/>
        <v>1461.6</v>
      </c>
      <c r="Q153" s="25"/>
      <c r="R153" s="17"/>
      <c r="S153" s="17"/>
      <c r="T153" s="17"/>
      <c r="U153" s="17"/>
      <c r="V153" s="17"/>
      <c r="W153" s="17"/>
      <c r="X153" s="17"/>
      <c r="Y153" s="17"/>
      <c r="Z153" s="17"/>
      <c r="AA153" s="17"/>
      <c r="AB153" s="17"/>
      <c r="AC153" s="17"/>
      <c r="AD153" s="17"/>
      <c r="AE153" s="17"/>
      <c r="AF153" s="17"/>
      <c r="AG153" s="17"/>
      <c r="AH153" s="17"/>
      <c r="AI153" s="17"/>
      <c r="AJ153" s="17"/>
      <c r="AK153" s="17"/>
    </row>
    <row r="154" spans="1:37" ht="15.75" customHeight="1" x14ac:dyDescent="0.3">
      <c r="A154" s="18" t="str">
        <f t="shared" si="32"/>
        <v/>
      </c>
      <c r="B154" s="19"/>
      <c r="C154" s="19"/>
      <c r="D154" s="20"/>
      <c r="E154" s="21"/>
      <c r="F154" s="22"/>
      <c r="G154" s="21"/>
      <c r="H154" s="19"/>
      <c r="I154" s="23" t="s">
        <v>44</v>
      </c>
      <c r="J154" s="23" t="s">
        <v>44</v>
      </c>
      <c r="K154" s="23" t="str">
        <f t="shared" si="38"/>
        <v/>
      </c>
      <c r="L154" s="23" t="str">
        <f t="shared" si="6"/>
        <v/>
      </c>
      <c r="M154" s="23" t="s">
        <v>44</v>
      </c>
      <c r="N154" s="24" t="str">
        <f t="shared" si="7"/>
        <v/>
      </c>
      <c r="O154" s="24"/>
      <c r="P154" s="24" t="str">
        <f t="shared" si="8"/>
        <v/>
      </c>
      <c r="Q154" s="25"/>
      <c r="R154" s="17"/>
      <c r="S154" s="17"/>
      <c r="T154" s="17"/>
      <c r="U154" s="17"/>
      <c r="V154" s="17"/>
      <c r="W154" s="17"/>
      <c r="X154" s="17"/>
      <c r="Y154" s="17"/>
      <c r="Z154" s="17"/>
      <c r="AA154" s="17"/>
      <c r="AB154" s="17"/>
      <c r="AC154" s="17"/>
      <c r="AD154" s="17"/>
      <c r="AE154" s="17"/>
      <c r="AF154" s="17"/>
      <c r="AG154" s="17"/>
      <c r="AH154" s="17"/>
      <c r="AI154" s="17"/>
      <c r="AJ154" s="17"/>
      <c r="AK154" s="17"/>
    </row>
    <row r="155" spans="1:37" ht="15.75" customHeight="1" x14ac:dyDescent="0.3">
      <c r="A155" s="18" t="str">
        <f t="shared" si="32"/>
        <v/>
      </c>
      <c r="B155" s="19"/>
      <c r="C155" s="19"/>
      <c r="D155" s="40" t="s">
        <v>146</v>
      </c>
      <c r="E155" s="21"/>
      <c r="F155" s="22"/>
      <c r="G155" s="21"/>
      <c r="H155" s="19"/>
      <c r="I155" s="23" t="s">
        <v>44</v>
      </c>
      <c r="J155" s="23" t="s">
        <v>44</v>
      </c>
      <c r="K155" s="23" t="str">
        <f t="shared" si="38"/>
        <v/>
      </c>
      <c r="L155" s="23" t="str">
        <f t="shared" si="6"/>
        <v/>
      </c>
      <c r="M155" s="23" t="s">
        <v>44</v>
      </c>
      <c r="N155" s="24" t="str">
        <f t="shared" si="7"/>
        <v/>
      </c>
      <c r="O155" s="24"/>
      <c r="P155" s="24" t="str">
        <f t="shared" si="8"/>
        <v/>
      </c>
      <c r="Q155" s="25"/>
      <c r="R155" s="17"/>
      <c r="S155" s="17"/>
      <c r="T155" s="17"/>
      <c r="U155" s="17"/>
      <c r="V155" s="17"/>
      <c r="W155" s="17"/>
      <c r="X155" s="17"/>
      <c r="Y155" s="17"/>
      <c r="Z155" s="17"/>
      <c r="AA155" s="17"/>
      <c r="AB155" s="17"/>
      <c r="AC155" s="17"/>
      <c r="AD155" s="17"/>
      <c r="AE155" s="17"/>
      <c r="AF155" s="17"/>
      <c r="AG155" s="17"/>
      <c r="AH155" s="17"/>
      <c r="AI155" s="17"/>
      <c r="AJ155" s="17"/>
      <c r="AK155" s="17"/>
    </row>
    <row r="156" spans="1:37" ht="15.75" customHeight="1" x14ac:dyDescent="0.3">
      <c r="A156" s="18">
        <f t="shared" si="32"/>
        <v>93</v>
      </c>
      <c r="B156" s="19" t="s">
        <v>51</v>
      </c>
      <c r="C156" s="19" t="s">
        <v>58</v>
      </c>
      <c r="D156" s="20" t="s">
        <v>145</v>
      </c>
      <c r="E156" s="21">
        <f>137*8.33*2</f>
        <v>2282.42</v>
      </c>
      <c r="F156" s="22">
        <v>0.05</v>
      </c>
      <c r="G156" s="21">
        <f t="shared" ref="G156:G160" si="55">E156+(E156*F156)</f>
        <v>2396.5410000000002</v>
      </c>
      <c r="H156" s="19" t="s">
        <v>53</v>
      </c>
      <c r="I156" s="23">
        <v>0.69920000000000004</v>
      </c>
      <c r="J156" s="23">
        <v>36.427423200000007</v>
      </c>
      <c r="K156" s="23">
        <f t="shared" si="38"/>
        <v>0.32524485000000009</v>
      </c>
      <c r="L156" s="23">
        <f t="shared" si="6"/>
        <v>46</v>
      </c>
      <c r="M156" s="23">
        <v>1.0488</v>
      </c>
      <c r="N156" s="24">
        <f t="shared" si="7"/>
        <v>1675.6614672000003</v>
      </c>
      <c r="O156" s="24">
        <f t="shared" ref="O156:O160" si="56">M156*G156</f>
        <v>2513.4922007999999</v>
      </c>
      <c r="P156" s="24">
        <f t="shared" si="8"/>
        <v>4189.1536679999999</v>
      </c>
      <c r="Q156" s="25"/>
      <c r="R156" s="17"/>
      <c r="S156" s="17"/>
      <c r="T156" s="17"/>
      <c r="U156" s="17"/>
      <c r="V156" s="17"/>
      <c r="W156" s="17"/>
      <c r="X156" s="17"/>
      <c r="Y156" s="17"/>
      <c r="Z156" s="17"/>
      <c r="AA156" s="17"/>
      <c r="AB156" s="17"/>
      <c r="AC156" s="17"/>
      <c r="AD156" s="17"/>
      <c r="AE156" s="17"/>
      <c r="AF156" s="17"/>
      <c r="AG156" s="17"/>
      <c r="AH156" s="17"/>
      <c r="AI156" s="17"/>
      <c r="AJ156" s="17"/>
      <c r="AK156" s="17"/>
    </row>
    <row r="157" spans="1:37" ht="15.75" customHeight="1" x14ac:dyDescent="0.3">
      <c r="A157" s="18">
        <f t="shared" si="32"/>
        <v>94</v>
      </c>
      <c r="B157" s="19" t="s">
        <v>51</v>
      </c>
      <c r="C157" s="19" t="s">
        <v>58</v>
      </c>
      <c r="D157" s="20" t="s">
        <v>137</v>
      </c>
      <c r="E157" s="21">
        <f>137*8.33</f>
        <v>1141.21</v>
      </c>
      <c r="F157" s="22">
        <v>0.05</v>
      </c>
      <c r="G157" s="21">
        <f t="shared" si="55"/>
        <v>1198.2705000000001</v>
      </c>
      <c r="H157" s="19" t="s">
        <v>53</v>
      </c>
      <c r="I157" s="23">
        <v>0.6624000000000001</v>
      </c>
      <c r="J157" s="23">
        <v>17.255095200000003</v>
      </c>
      <c r="K157" s="23">
        <f t="shared" si="38"/>
        <v>0.15406335000000002</v>
      </c>
      <c r="L157" s="23">
        <f t="shared" si="6"/>
        <v>46</v>
      </c>
      <c r="M157" s="23">
        <v>0.99360000000000004</v>
      </c>
      <c r="N157" s="24">
        <f t="shared" si="7"/>
        <v>793.73437920000015</v>
      </c>
      <c r="O157" s="24">
        <f t="shared" si="56"/>
        <v>1190.6015688000002</v>
      </c>
      <c r="P157" s="24">
        <f t="shared" si="8"/>
        <v>1984.3359480000004</v>
      </c>
      <c r="Q157" s="25"/>
      <c r="R157" s="17"/>
      <c r="S157" s="17"/>
      <c r="T157" s="17"/>
      <c r="U157" s="17"/>
      <c r="V157" s="17"/>
      <c r="W157" s="17"/>
      <c r="X157" s="17"/>
      <c r="Y157" s="17"/>
      <c r="Z157" s="17"/>
      <c r="AA157" s="17"/>
      <c r="AB157" s="17"/>
      <c r="AC157" s="17"/>
      <c r="AD157" s="17"/>
      <c r="AE157" s="17"/>
      <c r="AF157" s="17"/>
      <c r="AG157" s="17"/>
      <c r="AH157" s="17"/>
      <c r="AI157" s="17"/>
      <c r="AJ157" s="17"/>
      <c r="AK157" s="17"/>
    </row>
    <row r="158" spans="1:37" ht="15.75" customHeight="1" x14ac:dyDescent="0.3">
      <c r="A158" s="18">
        <f t="shared" si="32"/>
        <v>95</v>
      </c>
      <c r="B158" s="19" t="s">
        <v>51</v>
      </c>
      <c r="C158" s="19" t="s">
        <v>58</v>
      </c>
      <c r="D158" s="20" t="s">
        <v>142</v>
      </c>
      <c r="E158" s="21">
        <f>1141/1.33</f>
        <v>857.8947368421052</v>
      </c>
      <c r="F158" s="22">
        <v>0.05</v>
      </c>
      <c r="G158" s="21">
        <f t="shared" si="55"/>
        <v>900.78947368421041</v>
      </c>
      <c r="H158" s="19" t="s">
        <v>43</v>
      </c>
      <c r="I158" s="23">
        <v>1.288</v>
      </c>
      <c r="J158" s="23">
        <v>25.222105263157893</v>
      </c>
      <c r="K158" s="23">
        <f t="shared" si="38"/>
        <v>0.22519736842105262</v>
      </c>
      <c r="L158" s="23">
        <f t="shared" si="6"/>
        <v>46</v>
      </c>
      <c r="M158" s="23">
        <v>1.9319999999999997</v>
      </c>
      <c r="N158" s="24">
        <f t="shared" si="7"/>
        <v>1160.2168421052631</v>
      </c>
      <c r="O158" s="24">
        <f t="shared" si="56"/>
        <v>1740.3252631578941</v>
      </c>
      <c r="P158" s="24">
        <f t="shared" si="8"/>
        <v>2900.5421052631573</v>
      </c>
      <c r="Q158" s="25"/>
      <c r="R158" s="17"/>
      <c r="S158" s="17"/>
      <c r="T158" s="17"/>
      <c r="U158" s="17"/>
      <c r="V158" s="17"/>
      <c r="W158" s="17"/>
      <c r="X158" s="17"/>
      <c r="Y158" s="17"/>
      <c r="Z158" s="17"/>
      <c r="AA158" s="17"/>
      <c r="AB158" s="17"/>
      <c r="AC158" s="17"/>
      <c r="AD158" s="17"/>
      <c r="AE158" s="17"/>
      <c r="AF158" s="17"/>
      <c r="AG158" s="17"/>
      <c r="AH158" s="17"/>
      <c r="AI158" s="17"/>
      <c r="AJ158" s="17"/>
      <c r="AK158" s="17"/>
    </row>
    <row r="159" spans="1:37" ht="15.75" customHeight="1" x14ac:dyDescent="0.3">
      <c r="A159" s="18">
        <f t="shared" si="32"/>
        <v>96</v>
      </c>
      <c r="B159" s="19" t="s">
        <v>51</v>
      </c>
      <c r="C159" s="19" t="s">
        <v>58</v>
      </c>
      <c r="D159" s="20" t="s">
        <v>143</v>
      </c>
      <c r="E159" s="21">
        <f>137*2</f>
        <v>274</v>
      </c>
      <c r="F159" s="22">
        <v>0.05</v>
      </c>
      <c r="G159" s="21">
        <f t="shared" si="55"/>
        <v>287.7</v>
      </c>
      <c r="H159" s="19" t="s">
        <v>43</v>
      </c>
      <c r="I159" s="23">
        <v>1.0672000000000001</v>
      </c>
      <c r="J159" s="23">
        <v>6.674640000000001</v>
      </c>
      <c r="K159" s="23">
        <f t="shared" si="38"/>
        <v>5.9595000000000009E-2</v>
      </c>
      <c r="L159" s="23">
        <f t="shared" si="6"/>
        <v>46</v>
      </c>
      <c r="M159" s="23">
        <v>1.6008</v>
      </c>
      <c r="N159" s="24">
        <f t="shared" si="7"/>
        <v>307.03344000000004</v>
      </c>
      <c r="O159" s="24">
        <f t="shared" si="56"/>
        <v>460.55016000000001</v>
      </c>
      <c r="P159" s="24">
        <f t="shared" si="8"/>
        <v>767.58360000000005</v>
      </c>
      <c r="Q159" s="25"/>
      <c r="R159" s="17"/>
      <c r="S159" s="17"/>
      <c r="T159" s="17"/>
      <c r="U159" s="17"/>
      <c r="V159" s="17"/>
      <c r="W159" s="17"/>
      <c r="X159" s="17"/>
      <c r="Y159" s="17"/>
      <c r="Z159" s="17"/>
      <c r="AA159" s="17"/>
      <c r="AB159" s="17"/>
      <c r="AC159" s="17"/>
      <c r="AD159" s="17"/>
      <c r="AE159" s="17"/>
      <c r="AF159" s="17"/>
      <c r="AG159" s="17"/>
      <c r="AH159" s="17"/>
      <c r="AI159" s="17"/>
      <c r="AJ159" s="17"/>
      <c r="AK159" s="17"/>
    </row>
    <row r="160" spans="1:37" ht="15.75" customHeight="1" x14ac:dyDescent="0.3">
      <c r="A160" s="18">
        <f t="shared" si="32"/>
        <v>97</v>
      </c>
      <c r="B160" s="19" t="s">
        <v>51</v>
      </c>
      <c r="C160" s="19" t="s">
        <v>58</v>
      </c>
      <c r="D160" s="20" t="s">
        <v>134</v>
      </c>
      <c r="E160" s="21">
        <f>137*4</f>
        <v>548</v>
      </c>
      <c r="F160" s="22">
        <v>0.05</v>
      </c>
      <c r="G160" s="21">
        <f t="shared" si="55"/>
        <v>575.4</v>
      </c>
      <c r="H160" s="19" t="s">
        <v>43</v>
      </c>
      <c r="I160" s="23">
        <v>0.4</v>
      </c>
      <c r="J160" s="23">
        <v>5.0034782608695654</v>
      </c>
      <c r="K160" s="23">
        <f t="shared" si="38"/>
        <v>4.4673913043478265E-2</v>
      </c>
      <c r="L160" s="23">
        <f t="shared" si="6"/>
        <v>46</v>
      </c>
      <c r="M160" s="23">
        <v>0.6</v>
      </c>
      <c r="N160" s="24">
        <f t="shared" si="7"/>
        <v>230.16</v>
      </c>
      <c r="O160" s="24">
        <f t="shared" si="56"/>
        <v>345.23999999999995</v>
      </c>
      <c r="P160" s="24">
        <f t="shared" si="8"/>
        <v>575.4</v>
      </c>
      <c r="Q160" s="25"/>
      <c r="R160" s="17"/>
      <c r="S160" s="17"/>
      <c r="T160" s="17"/>
      <c r="U160" s="17"/>
      <c r="V160" s="17"/>
      <c r="W160" s="17"/>
      <c r="X160" s="17"/>
      <c r="Y160" s="17"/>
      <c r="Z160" s="17"/>
      <c r="AA160" s="17"/>
      <c r="AB160" s="17"/>
      <c r="AC160" s="17"/>
      <c r="AD160" s="17"/>
      <c r="AE160" s="17"/>
      <c r="AF160" s="17"/>
      <c r="AG160" s="17"/>
      <c r="AH160" s="17"/>
      <c r="AI160" s="17"/>
      <c r="AJ160" s="17"/>
      <c r="AK160" s="17"/>
    </row>
    <row r="161" spans="1:37" ht="15.75" customHeight="1" x14ac:dyDescent="0.3">
      <c r="A161" s="18" t="str">
        <f t="shared" si="32"/>
        <v/>
      </c>
      <c r="B161" s="19"/>
      <c r="C161" s="19"/>
      <c r="D161" s="20"/>
      <c r="E161" s="21"/>
      <c r="F161" s="22"/>
      <c r="G161" s="21"/>
      <c r="H161" s="19"/>
      <c r="I161" s="23" t="s">
        <v>44</v>
      </c>
      <c r="J161" s="23" t="s">
        <v>44</v>
      </c>
      <c r="K161" s="23" t="str">
        <f t="shared" si="38"/>
        <v/>
      </c>
      <c r="L161" s="23" t="str">
        <f t="shared" si="6"/>
        <v/>
      </c>
      <c r="M161" s="23" t="s">
        <v>44</v>
      </c>
      <c r="N161" s="24" t="str">
        <f t="shared" si="7"/>
        <v/>
      </c>
      <c r="O161" s="24"/>
      <c r="P161" s="24" t="str">
        <f t="shared" si="8"/>
        <v/>
      </c>
      <c r="Q161" s="25"/>
      <c r="R161" s="17"/>
      <c r="S161" s="17"/>
      <c r="T161" s="17"/>
      <c r="U161" s="17"/>
      <c r="V161" s="17"/>
      <c r="W161" s="17"/>
      <c r="X161" s="17"/>
      <c r="Y161" s="17"/>
      <c r="Z161" s="17"/>
      <c r="AA161" s="17"/>
      <c r="AB161" s="17"/>
      <c r="AC161" s="17"/>
      <c r="AD161" s="17"/>
      <c r="AE161" s="17"/>
      <c r="AF161" s="17"/>
      <c r="AG161" s="17"/>
      <c r="AH161" s="17"/>
      <c r="AI161" s="17"/>
      <c r="AJ161" s="17"/>
      <c r="AK161" s="17"/>
    </row>
    <row r="162" spans="1:37" ht="15.75" customHeight="1" x14ac:dyDescent="0.3">
      <c r="A162" s="18" t="str">
        <f t="shared" si="32"/>
        <v/>
      </c>
      <c r="B162" s="19"/>
      <c r="C162" s="19"/>
      <c r="D162" s="40" t="s">
        <v>147</v>
      </c>
      <c r="E162" s="21"/>
      <c r="F162" s="22"/>
      <c r="G162" s="21"/>
      <c r="H162" s="19"/>
      <c r="I162" s="23" t="s">
        <v>44</v>
      </c>
      <c r="J162" s="23" t="s">
        <v>44</v>
      </c>
      <c r="K162" s="23" t="str">
        <f t="shared" si="38"/>
        <v/>
      </c>
      <c r="L162" s="23" t="str">
        <f t="shared" si="6"/>
        <v/>
      </c>
      <c r="M162" s="23" t="s">
        <v>44</v>
      </c>
      <c r="N162" s="24" t="str">
        <f t="shared" si="7"/>
        <v/>
      </c>
      <c r="O162" s="24"/>
      <c r="P162" s="24" t="str">
        <f t="shared" si="8"/>
        <v/>
      </c>
      <c r="Q162" s="25"/>
      <c r="R162" s="17"/>
      <c r="S162" s="17"/>
      <c r="T162" s="17"/>
      <c r="U162" s="17"/>
      <c r="V162" s="17"/>
      <c r="W162" s="17"/>
      <c r="X162" s="17"/>
      <c r="Y162" s="17"/>
      <c r="Z162" s="17"/>
      <c r="AA162" s="17"/>
      <c r="AB162" s="17"/>
      <c r="AC162" s="17"/>
      <c r="AD162" s="17"/>
      <c r="AE162" s="17"/>
      <c r="AF162" s="17"/>
      <c r="AG162" s="17"/>
      <c r="AH162" s="17"/>
      <c r="AI162" s="17"/>
      <c r="AJ162" s="17"/>
      <c r="AK162" s="17"/>
    </row>
    <row r="163" spans="1:37" ht="15.75" customHeight="1" x14ac:dyDescent="0.3">
      <c r="A163" s="18">
        <f t="shared" si="32"/>
        <v>98</v>
      </c>
      <c r="B163" s="19" t="s">
        <v>51</v>
      </c>
      <c r="C163" s="19" t="s">
        <v>58</v>
      </c>
      <c r="D163" s="20" t="s">
        <v>137</v>
      </c>
      <c r="E163" s="21">
        <f t="shared" ref="E163:E164" si="57">940*9.5</f>
        <v>8930</v>
      </c>
      <c r="F163" s="22">
        <v>0.05</v>
      </c>
      <c r="G163" s="21">
        <f t="shared" ref="G163:G166" si="58">E163+(E163*F163)</f>
        <v>9376.5</v>
      </c>
      <c r="H163" s="19" t="s">
        <v>53</v>
      </c>
      <c r="I163" s="23">
        <v>0.6624000000000001</v>
      </c>
      <c r="J163" s="23">
        <v>135.02160000000001</v>
      </c>
      <c r="K163" s="23">
        <f t="shared" si="38"/>
        <v>1.2055500000000001</v>
      </c>
      <c r="L163" s="23">
        <f t="shared" si="6"/>
        <v>46</v>
      </c>
      <c r="M163" s="23">
        <v>0.99360000000000004</v>
      </c>
      <c r="N163" s="24">
        <f t="shared" si="7"/>
        <v>6210.9936000000007</v>
      </c>
      <c r="O163" s="24">
        <f t="shared" ref="O163:O166" si="59">M163*G163</f>
        <v>9316.4904000000006</v>
      </c>
      <c r="P163" s="24">
        <f t="shared" si="8"/>
        <v>15527.484</v>
      </c>
      <c r="Q163" s="25"/>
      <c r="R163" s="17"/>
      <c r="S163" s="17"/>
      <c r="T163" s="17"/>
      <c r="U163" s="17"/>
      <c r="V163" s="17"/>
      <c r="W163" s="17"/>
      <c r="X163" s="17"/>
      <c r="Y163" s="17"/>
      <c r="Z163" s="17"/>
      <c r="AA163" s="17"/>
      <c r="AB163" s="17"/>
      <c r="AC163" s="17"/>
      <c r="AD163" s="17"/>
      <c r="AE163" s="17"/>
      <c r="AF163" s="17"/>
      <c r="AG163" s="17"/>
      <c r="AH163" s="17"/>
      <c r="AI163" s="17"/>
      <c r="AJ163" s="17"/>
      <c r="AK163" s="17"/>
    </row>
    <row r="164" spans="1:37" ht="15.75" customHeight="1" x14ac:dyDescent="0.3">
      <c r="A164" s="18">
        <f t="shared" si="32"/>
        <v>99</v>
      </c>
      <c r="B164" s="19" t="s">
        <v>51</v>
      </c>
      <c r="C164" s="19" t="s">
        <v>58</v>
      </c>
      <c r="D164" s="20" t="s">
        <v>130</v>
      </c>
      <c r="E164" s="21">
        <f t="shared" si="57"/>
        <v>8930</v>
      </c>
      <c r="F164" s="22">
        <v>0.05</v>
      </c>
      <c r="G164" s="21">
        <f t="shared" si="58"/>
        <v>9376.5</v>
      </c>
      <c r="H164" s="19" t="s">
        <v>53</v>
      </c>
      <c r="I164" s="23">
        <v>1.0672000000000001</v>
      </c>
      <c r="J164" s="23">
        <v>217.53480000000005</v>
      </c>
      <c r="K164" s="23">
        <f t="shared" si="38"/>
        <v>1.9422750000000004</v>
      </c>
      <c r="L164" s="23">
        <f t="shared" si="6"/>
        <v>46</v>
      </c>
      <c r="M164" s="23">
        <v>1.6008</v>
      </c>
      <c r="N164" s="24">
        <f t="shared" si="7"/>
        <v>10006.600800000002</v>
      </c>
      <c r="O164" s="24">
        <f t="shared" si="59"/>
        <v>15009.9012</v>
      </c>
      <c r="P164" s="24">
        <f t="shared" si="8"/>
        <v>25016.502</v>
      </c>
      <c r="Q164" s="25"/>
      <c r="R164" s="17"/>
      <c r="S164" s="17"/>
      <c r="T164" s="17"/>
      <c r="U164" s="17"/>
      <c r="V164" s="17"/>
      <c r="W164" s="17"/>
      <c r="X164" s="17"/>
      <c r="Y164" s="17"/>
      <c r="Z164" s="17"/>
      <c r="AA164" s="17"/>
      <c r="AB164" s="17"/>
      <c r="AC164" s="17"/>
      <c r="AD164" s="17"/>
      <c r="AE164" s="17"/>
      <c r="AF164" s="17"/>
      <c r="AG164" s="17"/>
      <c r="AH164" s="17"/>
      <c r="AI164" s="17"/>
      <c r="AJ164" s="17"/>
      <c r="AK164" s="17"/>
    </row>
    <row r="165" spans="1:37" ht="15.75" customHeight="1" x14ac:dyDescent="0.3">
      <c r="A165" s="18">
        <f t="shared" si="32"/>
        <v>100</v>
      </c>
      <c r="B165" s="19" t="s">
        <v>51</v>
      </c>
      <c r="C165" s="19" t="s">
        <v>58</v>
      </c>
      <c r="D165" s="20" t="s">
        <v>138</v>
      </c>
      <c r="E165" s="21">
        <f>8930/1.33</f>
        <v>6714.2857142857138</v>
      </c>
      <c r="F165" s="22">
        <v>0.05</v>
      </c>
      <c r="G165" s="21">
        <f t="shared" si="58"/>
        <v>7049.9999999999991</v>
      </c>
      <c r="H165" s="19" t="s">
        <v>43</v>
      </c>
      <c r="I165" s="23">
        <v>1.6559999999999999</v>
      </c>
      <c r="J165" s="23">
        <v>253.79999999999995</v>
      </c>
      <c r="K165" s="23">
        <f t="shared" si="38"/>
        <v>2.2660714285714283</v>
      </c>
      <c r="L165" s="23">
        <f t="shared" si="6"/>
        <v>46</v>
      </c>
      <c r="M165" s="23">
        <v>2.484</v>
      </c>
      <c r="N165" s="24">
        <f t="shared" si="7"/>
        <v>11674.799999999997</v>
      </c>
      <c r="O165" s="24">
        <f t="shared" si="59"/>
        <v>17512.199999999997</v>
      </c>
      <c r="P165" s="24">
        <f t="shared" si="8"/>
        <v>29186.999999999993</v>
      </c>
      <c r="Q165" s="25"/>
      <c r="R165" s="17"/>
      <c r="S165" s="17"/>
      <c r="T165" s="17"/>
      <c r="U165" s="17"/>
      <c r="V165" s="17"/>
      <c r="W165" s="17"/>
      <c r="X165" s="17"/>
      <c r="Y165" s="17"/>
      <c r="Z165" s="17"/>
      <c r="AA165" s="17"/>
      <c r="AB165" s="17"/>
      <c r="AC165" s="17"/>
      <c r="AD165" s="17"/>
      <c r="AE165" s="17"/>
      <c r="AF165" s="17"/>
      <c r="AG165" s="17"/>
      <c r="AH165" s="17"/>
      <c r="AI165" s="17"/>
      <c r="AJ165" s="17"/>
      <c r="AK165" s="17"/>
    </row>
    <row r="166" spans="1:37" ht="15.75" customHeight="1" x14ac:dyDescent="0.3">
      <c r="A166" s="18">
        <f t="shared" si="32"/>
        <v>101</v>
      </c>
      <c r="B166" s="19" t="s">
        <v>51</v>
      </c>
      <c r="C166" s="19" t="s">
        <v>58</v>
      </c>
      <c r="D166" s="20" t="s">
        <v>134</v>
      </c>
      <c r="E166" s="21">
        <f>940*2</f>
        <v>1880</v>
      </c>
      <c r="F166" s="22">
        <v>0.05</v>
      </c>
      <c r="G166" s="21">
        <f t="shared" si="58"/>
        <v>1974</v>
      </c>
      <c r="H166" s="19" t="s">
        <v>43</v>
      </c>
      <c r="I166" s="23">
        <v>0.4</v>
      </c>
      <c r="J166" s="23">
        <v>17.165217391304349</v>
      </c>
      <c r="K166" s="23">
        <f t="shared" si="38"/>
        <v>0.15326086956521739</v>
      </c>
      <c r="L166" s="23">
        <f t="shared" si="6"/>
        <v>46</v>
      </c>
      <c r="M166" s="23">
        <v>0.6</v>
      </c>
      <c r="N166" s="24">
        <f t="shared" si="7"/>
        <v>789.6</v>
      </c>
      <c r="O166" s="24">
        <f t="shared" si="59"/>
        <v>1184.3999999999999</v>
      </c>
      <c r="P166" s="24">
        <f t="shared" si="8"/>
        <v>1974</v>
      </c>
      <c r="Q166" s="25"/>
      <c r="R166" s="17"/>
      <c r="S166" s="17"/>
      <c r="T166" s="17"/>
      <c r="U166" s="17"/>
      <c r="V166" s="17"/>
      <c r="W166" s="17"/>
      <c r="X166" s="17"/>
      <c r="Y166" s="17"/>
      <c r="Z166" s="17"/>
      <c r="AA166" s="17"/>
      <c r="AB166" s="17"/>
      <c r="AC166" s="17"/>
      <c r="AD166" s="17"/>
      <c r="AE166" s="17"/>
      <c r="AF166" s="17"/>
      <c r="AG166" s="17"/>
      <c r="AH166" s="17"/>
      <c r="AI166" s="17"/>
      <c r="AJ166" s="17"/>
      <c r="AK166" s="17"/>
    </row>
    <row r="167" spans="1:37" ht="15.75" customHeight="1" x14ac:dyDescent="0.3">
      <c r="A167" s="18" t="str">
        <f t="shared" si="32"/>
        <v/>
      </c>
      <c r="B167" s="19"/>
      <c r="C167" s="19"/>
      <c r="D167" s="20"/>
      <c r="E167" s="21"/>
      <c r="F167" s="22"/>
      <c r="G167" s="21"/>
      <c r="H167" s="19"/>
      <c r="I167" s="23" t="s">
        <v>44</v>
      </c>
      <c r="J167" s="23" t="s">
        <v>44</v>
      </c>
      <c r="K167" s="23" t="str">
        <f t="shared" si="38"/>
        <v/>
      </c>
      <c r="L167" s="23" t="str">
        <f t="shared" si="6"/>
        <v/>
      </c>
      <c r="M167" s="23" t="s">
        <v>44</v>
      </c>
      <c r="N167" s="24" t="str">
        <f t="shared" si="7"/>
        <v/>
      </c>
      <c r="O167" s="24"/>
      <c r="P167" s="24" t="str">
        <f t="shared" si="8"/>
        <v/>
      </c>
      <c r="Q167" s="25"/>
      <c r="R167" s="17"/>
      <c r="S167" s="17"/>
      <c r="T167" s="17"/>
      <c r="U167" s="17"/>
      <c r="V167" s="17"/>
      <c r="W167" s="17"/>
      <c r="X167" s="17"/>
      <c r="Y167" s="17"/>
      <c r="Z167" s="17"/>
      <c r="AA167" s="17"/>
      <c r="AB167" s="17"/>
      <c r="AC167" s="17"/>
      <c r="AD167" s="17"/>
      <c r="AE167" s="17"/>
      <c r="AF167" s="17"/>
      <c r="AG167" s="17"/>
      <c r="AH167" s="17"/>
      <c r="AI167" s="17"/>
      <c r="AJ167" s="17"/>
      <c r="AK167" s="17"/>
    </row>
    <row r="168" spans="1:37" ht="15.75" customHeight="1" x14ac:dyDescent="0.3">
      <c r="A168" s="18" t="str">
        <f t="shared" si="32"/>
        <v/>
      </c>
      <c r="B168" s="19"/>
      <c r="C168" s="19"/>
      <c r="D168" s="40" t="s">
        <v>148</v>
      </c>
      <c r="E168" s="21"/>
      <c r="F168" s="22"/>
      <c r="G168" s="21"/>
      <c r="H168" s="19"/>
      <c r="I168" s="23" t="s">
        <v>44</v>
      </c>
      <c r="J168" s="23" t="s">
        <v>44</v>
      </c>
      <c r="K168" s="23" t="str">
        <f t="shared" si="38"/>
        <v/>
      </c>
      <c r="L168" s="23" t="str">
        <f t="shared" si="6"/>
        <v/>
      </c>
      <c r="M168" s="23" t="s">
        <v>44</v>
      </c>
      <c r="N168" s="24" t="str">
        <f t="shared" si="7"/>
        <v/>
      </c>
      <c r="O168" s="24"/>
      <c r="P168" s="24" t="str">
        <f t="shared" si="8"/>
        <v/>
      </c>
      <c r="Q168" s="25"/>
      <c r="R168" s="17"/>
      <c r="S168" s="17"/>
      <c r="T168" s="17"/>
      <c r="U168" s="17"/>
      <c r="V168" s="17"/>
      <c r="W168" s="17"/>
      <c r="X168" s="17"/>
      <c r="Y168" s="17"/>
      <c r="Z168" s="17"/>
      <c r="AA168" s="17"/>
      <c r="AB168" s="17"/>
      <c r="AC168" s="17"/>
      <c r="AD168" s="17"/>
      <c r="AE168" s="17"/>
      <c r="AF168" s="17"/>
      <c r="AG168" s="17"/>
      <c r="AH168" s="17"/>
      <c r="AI168" s="17"/>
      <c r="AJ168" s="17"/>
      <c r="AK168" s="17"/>
    </row>
    <row r="169" spans="1:37" ht="15.75" customHeight="1" x14ac:dyDescent="0.3">
      <c r="A169" s="18">
        <f t="shared" si="32"/>
        <v>102</v>
      </c>
      <c r="B169" s="19" t="s">
        <v>51</v>
      </c>
      <c r="C169" s="19" t="s">
        <v>58</v>
      </c>
      <c r="D169" s="20" t="s">
        <v>149</v>
      </c>
      <c r="E169" s="21">
        <f>3416*8.33*2</f>
        <v>56910.559999999998</v>
      </c>
      <c r="F169" s="22">
        <v>0.05</v>
      </c>
      <c r="G169" s="21">
        <f t="shared" ref="G169:G173" si="60">E169+(E169*F169)</f>
        <v>59756.087999999996</v>
      </c>
      <c r="H169" s="19" t="s">
        <v>53</v>
      </c>
      <c r="I169" s="23">
        <v>0.6624000000000001</v>
      </c>
      <c r="J169" s="23">
        <v>860.48766720000003</v>
      </c>
      <c r="K169" s="23">
        <f t="shared" si="38"/>
        <v>7.6829255999999999</v>
      </c>
      <c r="L169" s="23">
        <f t="shared" si="6"/>
        <v>46</v>
      </c>
      <c r="M169" s="23">
        <v>0.99360000000000004</v>
      </c>
      <c r="N169" s="24">
        <f t="shared" si="7"/>
        <v>39582.432691200003</v>
      </c>
      <c r="O169" s="24">
        <f t="shared" ref="O169:O173" si="61">M169*G169</f>
        <v>59373.649036800001</v>
      </c>
      <c r="P169" s="24">
        <f t="shared" si="8"/>
        <v>98956.081728000005</v>
      </c>
      <c r="Q169" s="25"/>
      <c r="R169" s="17"/>
      <c r="S169" s="17"/>
      <c r="T169" s="17"/>
      <c r="U169" s="17"/>
      <c r="V169" s="17"/>
      <c r="W169" s="17"/>
      <c r="X169" s="17"/>
      <c r="Y169" s="17"/>
      <c r="Z169" s="17"/>
      <c r="AA169" s="17"/>
      <c r="AB169" s="17"/>
      <c r="AC169" s="17"/>
      <c r="AD169" s="17"/>
      <c r="AE169" s="17"/>
      <c r="AF169" s="17"/>
      <c r="AG169" s="17"/>
      <c r="AH169" s="17"/>
      <c r="AI169" s="17"/>
      <c r="AJ169" s="17"/>
      <c r="AK169" s="17"/>
    </row>
    <row r="170" spans="1:37" ht="15.75" customHeight="1" x14ac:dyDescent="0.3">
      <c r="A170" s="18">
        <f t="shared" si="32"/>
        <v>103</v>
      </c>
      <c r="B170" s="19" t="s">
        <v>51</v>
      </c>
      <c r="C170" s="19" t="s">
        <v>58</v>
      </c>
      <c r="D170" s="20" t="s">
        <v>130</v>
      </c>
      <c r="E170" s="21">
        <f>3416*8.33</f>
        <v>28455.279999999999</v>
      </c>
      <c r="F170" s="22">
        <v>0.05</v>
      </c>
      <c r="G170" s="21">
        <f t="shared" si="60"/>
        <v>29878.043999999998</v>
      </c>
      <c r="H170" s="19" t="s">
        <v>53</v>
      </c>
      <c r="I170" s="23">
        <v>1.0672000000000001</v>
      </c>
      <c r="J170" s="23">
        <v>693.17062080000005</v>
      </c>
      <c r="K170" s="23">
        <f t="shared" si="38"/>
        <v>6.1890234000000008</v>
      </c>
      <c r="L170" s="23">
        <f t="shared" si="6"/>
        <v>46</v>
      </c>
      <c r="M170" s="23">
        <v>1.6008</v>
      </c>
      <c r="N170" s="24">
        <f t="shared" si="7"/>
        <v>31885.848556800003</v>
      </c>
      <c r="O170" s="24">
        <f t="shared" si="61"/>
        <v>47828.772835199998</v>
      </c>
      <c r="P170" s="24">
        <f t="shared" si="8"/>
        <v>79714.621392000001</v>
      </c>
      <c r="Q170" s="25"/>
      <c r="R170" s="17"/>
      <c r="S170" s="17"/>
      <c r="T170" s="17"/>
      <c r="U170" s="17"/>
      <c r="V170" s="17"/>
      <c r="W170" s="17"/>
      <c r="X170" s="17"/>
      <c r="Y170" s="17"/>
      <c r="Z170" s="17"/>
      <c r="AA170" s="17"/>
      <c r="AB170" s="17"/>
      <c r="AC170" s="17"/>
      <c r="AD170" s="17"/>
      <c r="AE170" s="17"/>
      <c r="AF170" s="17"/>
      <c r="AG170" s="17"/>
      <c r="AH170" s="17"/>
      <c r="AI170" s="17"/>
      <c r="AJ170" s="17"/>
      <c r="AK170" s="17"/>
    </row>
    <row r="171" spans="1:37" ht="15.75" customHeight="1" x14ac:dyDescent="0.3">
      <c r="A171" s="18">
        <f t="shared" si="32"/>
        <v>104</v>
      </c>
      <c r="B171" s="19" t="s">
        <v>51</v>
      </c>
      <c r="C171" s="19" t="s">
        <v>58</v>
      </c>
      <c r="D171" s="20" t="s">
        <v>138</v>
      </c>
      <c r="E171" s="21">
        <f>28455/1.33</f>
        <v>21394.736842105263</v>
      </c>
      <c r="F171" s="22">
        <v>0.05</v>
      </c>
      <c r="G171" s="21">
        <f t="shared" si="60"/>
        <v>22464.473684210527</v>
      </c>
      <c r="H171" s="19" t="s">
        <v>43</v>
      </c>
      <c r="I171" s="23">
        <v>1.6559999999999999</v>
      </c>
      <c r="J171" s="23">
        <v>808.72105263157891</v>
      </c>
      <c r="K171" s="23">
        <f t="shared" si="38"/>
        <v>7.220723684210526</v>
      </c>
      <c r="L171" s="23">
        <f t="shared" si="6"/>
        <v>46</v>
      </c>
      <c r="M171" s="23">
        <v>2.484</v>
      </c>
      <c r="N171" s="24">
        <f t="shared" si="7"/>
        <v>37201.168421052629</v>
      </c>
      <c r="O171" s="24">
        <f t="shared" si="61"/>
        <v>55801.752631578951</v>
      </c>
      <c r="P171" s="24">
        <f t="shared" si="8"/>
        <v>93002.921052631573</v>
      </c>
      <c r="Q171" s="25"/>
      <c r="R171" s="17"/>
      <c r="S171" s="17"/>
      <c r="T171" s="17"/>
      <c r="U171" s="17"/>
      <c r="V171" s="17"/>
      <c r="W171" s="17"/>
      <c r="X171" s="17"/>
      <c r="Y171" s="17"/>
      <c r="Z171" s="17"/>
      <c r="AA171" s="17"/>
      <c r="AB171" s="17"/>
      <c r="AC171" s="17"/>
      <c r="AD171" s="17"/>
      <c r="AE171" s="17"/>
      <c r="AF171" s="17"/>
      <c r="AG171" s="17"/>
      <c r="AH171" s="17"/>
      <c r="AI171" s="17"/>
      <c r="AJ171" s="17"/>
      <c r="AK171" s="17"/>
    </row>
    <row r="172" spans="1:37" ht="15.75" customHeight="1" x14ac:dyDescent="0.3">
      <c r="A172" s="18">
        <f t="shared" si="32"/>
        <v>105</v>
      </c>
      <c r="B172" s="19" t="s">
        <v>51</v>
      </c>
      <c r="C172" s="19" t="s">
        <v>58</v>
      </c>
      <c r="D172" s="20" t="s">
        <v>139</v>
      </c>
      <c r="E172" s="21">
        <f>3416*2</f>
        <v>6832</v>
      </c>
      <c r="F172" s="22">
        <v>0.05</v>
      </c>
      <c r="G172" s="21">
        <f t="shared" si="60"/>
        <v>7173.6</v>
      </c>
      <c r="H172" s="19" t="s">
        <v>43</v>
      </c>
      <c r="I172" s="23">
        <v>1.1776</v>
      </c>
      <c r="J172" s="23">
        <v>183.64416</v>
      </c>
      <c r="K172" s="23">
        <f t="shared" si="38"/>
        <v>1.63968</v>
      </c>
      <c r="L172" s="23">
        <f t="shared" si="6"/>
        <v>46</v>
      </c>
      <c r="M172" s="23">
        <v>1.7664</v>
      </c>
      <c r="N172" s="24">
        <f t="shared" si="7"/>
        <v>8447.6313599999994</v>
      </c>
      <c r="O172" s="24">
        <f t="shared" si="61"/>
        <v>12671.447040000001</v>
      </c>
      <c r="P172" s="24">
        <f t="shared" si="8"/>
        <v>21119.078399999999</v>
      </c>
      <c r="Q172" s="25"/>
      <c r="R172" s="17"/>
      <c r="S172" s="17"/>
      <c r="T172" s="17"/>
      <c r="U172" s="17"/>
      <c r="V172" s="17"/>
      <c r="W172" s="17"/>
      <c r="X172" s="17"/>
      <c r="Y172" s="17"/>
      <c r="Z172" s="17"/>
      <c r="AA172" s="17"/>
      <c r="AB172" s="17"/>
      <c r="AC172" s="17"/>
      <c r="AD172" s="17"/>
      <c r="AE172" s="17"/>
      <c r="AF172" s="17"/>
      <c r="AG172" s="17"/>
      <c r="AH172" s="17"/>
      <c r="AI172" s="17"/>
      <c r="AJ172" s="17"/>
      <c r="AK172" s="17"/>
    </row>
    <row r="173" spans="1:37" ht="15.75" customHeight="1" x14ac:dyDescent="0.3">
      <c r="A173" s="18">
        <f t="shared" si="32"/>
        <v>106</v>
      </c>
      <c r="B173" s="19" t="s">
        <v>51</v>
      </c>
      <c r="C173" s="19" t="s">
        <v>58</v>
      </c>
      <c r="D173" s="20" t="s">
        <v>134</v>
      </c>
      <c r="E173" s="21">
        <f>3416*4</f>
        <v>13664</v>
      </c>
      <c r="F173" s="22">
        <v>0.05</v>
      </c>
      <c r="G173" s="21">
        <f t="shared" si="60"/>
        <v>14347.2</v>
      </c>
      <c r="H173" s="19" t="s">
        <v>43</v>
      </c>
      <c r="I173" s="23">
        <v>0.4</v>
      </c>
      <c r="J173" s="23">
        <v>124.75826086956523</v>
      </c>
      <c r="K173" s="23">
        <f t="shared" si="38"/>
        <v>1.1139130434782609</v>
      </c>
      <c r="L173" s="23">
        <f t="shared" si="6"/>
        <v>46</v>
      </c>
      <c r="M173" s="23">
        <v>0.6</v>
      </c>
      <c r="N173" s="24">
        <f t="shared" si="7"/>
        <v>5738.880000000001</v>
      </c>
      <c r="O173" s="24">
        <f t="shared" si="61"/>
        <v>8608.32</v>
      </c>
      <c r="P173" s="24">
        <f t="shared" si="8"/>
        <v>14347.2</v>
      </c>
      <c r="Q173" s="25"/>
      <c r="R173" s="17"/>
      <c r="S173" s="17"/>
      <c r="T173" s="17"/>
      <c r="U173" s="17"/>
      <c r="V173" s="17"/>
      <c r="W173" s="17"/>
      <c r="X173" s="17"/>
      <c r="Y173" s="17"/>
      <c r="Z173" s="17"/>
      <c r="AA173" s="17"/>
      <c r="AB173" s="17"/>
      <c r="AC173" s="17"/>
      <c r="AD173" s="17"/>
      <c r="AE173" s="17"/>
      <c r="AF173" s="17"/>
      <c r="AG173" s="17"/>
      <c r="AH173" s="17"/>
      <c r="AI173" s="17"/>
      <c r="AJ173" s="17"/>
      <c r="AK173" s="17"/>
    </row>
    <row r="174" spans="1:37" ht="15.75" customHeight="1" x14ac:dyDescent="0.3">
      <c r="A174" s="18" t="str">
        <f t="shared" si="32"/>
        <v/>
      </c>
      <c r="B174" s="19"/>
      <c r="C174" s="19"/>
      <c r="D174" s="20"/>
      <c r="E174" s="21"/>
      <c r="F174" s="22"/>
      <c r="G174" s="21"/>
      <c r="H174" s="19"/>
      <c r="I174" s="23" t="s">
        <v>44</v>
      </c>
      <c r="J174" s="23" t="s">
        <v>44</v>
      </c>
      <c r="K174" s="23" t="str">
        <f t="shared" si="38"/>
        <v/>
      </c>
      <c r="L174" s="23" t="str">
        <f t="shared" si="6"/>
        <v/>
      </c>
      <c r="M174" s="23" t="s">
        <v>44</v>
      </c>
      <c r="N174" s="24" t="str">
        <f t="shared" si="7"/>
        <v/>
      </c>
      <c r="O174" s="24"/>
      <c r="P174" s="24" t="str">
        <f t="shared" si="8"/>
        <v/>
      </c>
      <c r="Q174" s="25"/>
      <c r="R174" s="17"/>
      <c r="S174" s="17"/>
      <c r="T174" s="17"/>
      <c r="U174" s="17"/>
      <c r="V174" s="17"/>
      <c r="W174" s="17"/>
      <c r="X174" s="17"/>
      <c r="Y174" s="17"/>
      <c r="Z174" s="17"/>
      <c r="AA174" s="17"/>
      <c r="AB174" s="17"/>
      <c r="AC174" s="17"/>
      <c r="AD174" s="17"/>
      <c r="AE174" s="17"/>
      <c r="AF174" s="17"/>
      <c r="AG174" s="17"/>
      <c r="AH174" s="17"/>
      <c r="AI174" s="17"/>
      <c r="AJ174" s="17"/>
      <c r="AK174" s="17"/>
    </row>
    <row r="175" spans="1:37" ht="15.75" customHeight="1" x14ac:dyDescent="0.3">
      <c r="A175" s="18" t="str">
        <f t="shared" si="32"/>
        <v/>
      </c>
      <c r="B175" s="19"/>
      <c r="C175" s="19"/>
      <c r="D175" s="40" t="s">
        <v>150</v>
      </c>
      <c r="E175" s="21"/>
      <c r="F175" s="22"/>
      <c r="G175" s="21"/>
      <c r="H175" s="19"/>
      <c r="I175" s="23" t="s">
        <v>44</v>
      </c>
      <c r="J175" s="23" t="s">
        <v>44</v>
      </c>
      <c r="K175" s="23" t="str">
        <f t="shared" si="38"/>
        <v/>
      </c>
      <c r="L175" s="23" t="str">
        <f t="shared" si="6"/>
        <v/>
      </c>
      <c r="M175" s="23" t="s">
        <v>44</v>
      </c>
      <c r="N175" s="24" t="str">
        <f t="shared" si="7"/>
        <v/>
      </c>
      <c r="O175" s="24"/>
      <c r="P175" s="24" t="str">
        <f t="shared" si="8"/>
        <v/>
      </c>
      <c r="Q175" s="25"/>
      <c r="R175" s="17"/>
      <c r="S175" s="17"/>
      <c r="T175" s="17"/>
      <c r="U175" s="17"/>
      <c r="V175" s="17"/>
      <c r="W175" s="17"/>
      <c r="X175" s="17"/>
      <c r="Y175" s="17"/>
      <c r="Z175" s="17"/>
      <c r="AA175" s="17"/>
      <c r="AB175" s="17"/>
      <c r="AC175" s="17"/>
      <c r="AD175" s="17"/>
      <c r="AE175" s="17"/>
      <c r="AF175" s="17"/>
      <c r="AG175" s="17"/>
      <c r="AH175" s="17"/>
      <c r="AI175" s="17"/>
      <c r="AJ175" s="17"/>
      <c r="AK175" s="17"/>
    </row>
    <row r="176" spans="1:37" ht="15.75" customHeight="1" x14ac:dyDescent="0.3">
      <c r="A176" s="18">
        <f t="shared" si="32"/>
        <v>107</v>
      </c>
      <c r="B176" s="19" t="s">
        <v>51</v>
      </c>
      <c r="C176" s="19" t="s">
        <v>58</v>
      </c>
      <c r="D176" s="20" t="s">
        <v>151</v>
      </c>
      <c r="E176" s="21">
        <f>1726*8.33*4</f>
        <v>57510.32</v>
      </c>
      <c r="F176" s="22">
        <v>0.05</v>
      </c>
      <c r="G176" s="21">
        <f t="shared" ref="G176:G180" si="62">E176+(E176*F176)</f>
        <v>60385.836000000003</v>
      </c>
      <c r="H176" s="19" t="s">
        <v>53</v>
      </c>
      <c r="I176" s="23">
        <v>0.6624000000000001</v>
      </c>
      <c r="J176" s="23">
        <v>869.55603840000015</v>
      </c>
      <c r="K176" s="23">
        <f t="shared" si="38"/>
        <v>7.7638932000000009</v>
      </c>
      <c r="L176" s="23">
        <f t="shared" si="6"/>
        <v>46</v>
      </c>
      <c r="M176" s="23">
        <v>0.99360000000000004</v>
      </c>
      <c r="N176" s="24">
        <f t="shared" si="7"/>
        <v>39999.577766400005</v>
      </c>
      <c r="O176" s="24">
        <f t="shared" ref="O176:O180" si="63">M176*G176</f>
        <v>59999.366649600008</v>
      </c>
      <c r="P176" s="24">
        <f t="shared" si="8"/>
        <v>99998.944416000013</v>
      </c>
      <c r="Q176" s="25"/>
      <c r="R176" s="17"/>
      <c r="S176" s="17"/>
      <c r="T176" s="17"/>
      <c r="U176" s="17"/>
      <c r="V176" s="17"/>
      <c r="W176" s="17"/>
      <c r="X176" s="17"/>
      <c r="Y176" s="17"/>
      <c r="Z176" s="17"/>
      <c r="AA176" s="17"/>
      <c r="AB176" s="17"/>
      <c r="AC176" s="17"/>
      <c r="AD176" s="17"/>
      <c r="AE176" s="17"/>
      <c r="AF176" s="17"/>
      <c r="AG176" s="17"/>
      <c r="AH176" s="17"/>
      <c r="AI176" s="17"/>
      <c r="AJ176" s="17"/>
      <c r="AK176" s="17"/>
    </row>
    <row r="177" spans="1:37" ht="15.75" customHeight="1" x14ac:dyDescent="0.3">
      <c r="A177" s="18">
        <f t="shared" si="32"/>
        <v>108</v>
      </c>
      <c r="B177" s="19" t="s">
        <v>51</v>
      </c>
      <c r="C177" s="19" t="s">
        <v>58</v>
      </c>
      <c r="D177" s="20" t="s">
        <v>152</v>
      </c>
      <c r="E177" s="21">
        <f>1726*8.33</f>
        <v>14377.58</v>
      </c>
      <c r="F177" s="22">
        <v>0.05</v>
      </c>
      <c r="G177" s="21">
        <f t="shared" si="62"/>
        <v>15096.459000000001</v>
      </c>
      <c r="H177" s="19" t="s">
        <v>53</v>
      </c>
      <c r="I177" s="23">
        <v>1.1039999999999999</v>
      </c>
      <c r="J177" s="23">
        <v>362.31501600000001</v>
      </c>
      <c r="K177" s="23">
        <f t="shared" si="38"/>
        <v>3.2349555000000003</v>
      </c>
      <c r="L177" s="23">
        <f t="shared" si="6"/>
        <v>46</v>
      </c>
      <c r="M177" s="23">
        <v>1.6559999999999999</v>
      </c>
      <c r="N177" s="24">
        <f t="shared" si="7"/>
        <v>16666.490736</v>
      </c>
      <c r="O177" s="24">
        <f t="shared" si="63"/>
        <v>24999.736104</v>
      </c>
      <c r="P177" s="24">
        <f t="shared" si="8"/>
        <v>41666.226840000003</v>
      </c>
      <c r="Q177" s="25"/>
      <c r="R177" s="17"/>
      <c r="S177" s="17"/>
      <c r="T177" s="17"/>
      <c r="U177" s="17"/>
      <c r="V177" s="17"/>
      <c r="W177" s="17"/>
      <c r="X177" s="17"/>
      <c r="Y177" s="17"/>
      <c r="Z177" s="17"/>
      <c r="AA177" s="17"/>
      <c r="AB177" s="17"/>
      <c r="AC177" s="17"/>
      <c r="AD177" s="17"/>
      <c r="AE177" s="17"/>
      <c r="AF177" s="17"/>
      <c r="AG177" s="17"/>
      <c r="AH177" s="17"/>
      <c r="AI177" s="17"/>
      <c r="AJ177" s="17"/>
      <c r="AK177" s="17"/>
    </row>
    <row r="178" spans="1:37" ht="15.75" customHeight="1" x14ac:dyDescent="0.3">
      <c r="A178" s="18">
        <f t="shared" si="32"/>
        <v>109</v>
      </c>
      <c r="B178" s="19" t="s">
        <v>51</v>
      </c>
      <c r="C178" s="19" t="s">
        <v>58</v>
      </c>
      <c r="D178" s="20" t="s">
        <v>138</v>
      </c>
      <c r="E178" s="21">
        <f>14378/1.33</f>
        <v>10810.526315789473</v>
      </c>
      <c r="F178" s="22">
        <v>0.05</v>
      </c>
      <c r="G178" s="21">
        <f t="shared" si="62"/>
        <v>11351.052631578947</v>
      </c>
      <c r="H178" s="19" t="s">
        <v>43</v>
      </c>
      <c r="I178" s="23">
        <v>1.6559999999999999</v>
      </c>
      <c r="J178" s="23">
        <v>408.63789473684204</v>
      </c>
      <c r="K178" s="23">
        <f t="shared" si="38"/>
        <v>3.6485526315789469</v>
      </c>
      <c r="L178" s="23">
        <f t="shared" si="6"/>
        <v>46</v>
      </c>
      <c r="M178" s="23">
        <v>2.484</v>
      </c>
      <c r="N178" s="24">
        <f t="shared" si="7"/>
        <v>18797.343157894735</v>
      </c>
      <c r="O178" s="24">
        <f t="shared" si="63"/>
        <v>28196.014736842102</v>
      </c>
      <c r="P178" s="24">
        <f t="shared" si="8"/>
        <v>46993.357894736837</v>
      </c>
      <c r="Q178" s="25"/>
      <c r="R178" s="17"/>
      <c r="S178" s="17"/>
      <c r="T178" s="17"/>
      <c r="U178" s="17"/>
      <c r="V178" s="17"/>
      <c r="W178" s="17"/>
      <c r="X178" s="17"/>
      <c r="Y178" s="17"/>
      <c r="Z178" s="17"/>
      <c r="AA178" s="17"/>
      <c r="AB178" s="17"/>
      <c r="AC178" s="17"/>
      <c r="AD178" s="17"/>
      <c r="AE178" s="17"/>
      <c r="AF178" s="17"/>
      <c r="AG178" s="17"/>
      <c r="AH178" s="17"/>
      <c r="AI178" s="17"/>
      <c r="AJ178" s="17"/>
      <c r="AK178" s="17"/>
    </row>
    <row r="179" spans="1:37" ht="15.75" customHeight="1" x14ac:dyDescent="0.3">
      <c r="A179" s="18">
        <f t="shared" si="32"/>
        <v>110</v>
      </c>
      <c r="B179" s="19" t="s">
        <v>51</v>
      </c>
      <c r="C179" s="19" t="s">
        <v>58</v>
      </c>
      <c r="D179" s="20" t="s">
        <v>139</v>
      </c>
      <c r="E179" s="21">
        <f>1726*2</f>
        <v>3452</v>
      </c>
      <c r="F179" s="22">
        <v>0.05</v>
      </c>
      <c r="G179" s="21">
        <f t="shared" si="62"/>
        <v>3624.6</v>
      </c>
      <c r="H179" s="19" t="s">
        <v>43</v>
      </c>
      <c r="I179" s="23">
        <v>1.1776</v>
      </c>
      <c r="J179" s="23">
        <v>92.789760000000001</v>
      </c>
      <c r="K179" s="23">
        <f t="shared" si="38"/>
        <v>0.82847999999999999</v>
      </c>
      <c r="L179" s="23">
        <f t="shared" si="6"/>
        <v>46</v>
      </c>
      <c r="M179" s="23">
        <v>1.7664</v>
      </c>
      <c r="N179" s="24">
        <f t="shared" si="7"/>
        <v>4268.3289599999998</v>
      </c>
      <c r="O179" s="24">
        <f t="shared" si="63"/>
        <v>6402.4934399999993</v>
      </c>
      <c r="P179" s="24">
        <f t="shared" si="8"/>
        <v>10670.822399999999</v>
      </c>
      <c r="Q179" s="25"/>
      <c r="R179" s="17"/>
      <c r="S179" s="17"/>
      <c r="T179" s="17"/>
      <c r="U179" s="17"/>
      <c r="V179" s="17"/>
      <c r="W179" s="17"/>
      <c r="X179" s="17"/>
      <c r="Y179" s="17"/>
      <c r="Z179" s="17"/>
      <c r="AA179" s="17"/>
      <c r="AB179" s="17"/>
      <c r="AC179" s="17"/>
      <c r="AD179" s="17"/>
      <c r="AE179" s="17"/>
      <c r="AF179" s="17"/>
      <c r="AG179" s="17"/>
      <c r="AH179" s="17"/>
      <c r="AI179" s="17"/>
      <c r="AJ179" s="17"/>
      <c r="AK179" s="17"/>
    </row>
    <row r="180" spans="1:37" ht="15.75" customHeight="1" x14ac:dyDescent="0.3">
      <c r="A180" s="18">
        <f t="shared" si="32"/>
        <v>111</v>
      </c>
      <c r="B180" s="19" t="s">
        <v>51</v>
      </c>
      <c r="C180" s="19" t="s">
        <v>58</v>
      </c>
      <c r="D180" s="20" t="s">
        <v>134</v>
      </c>
      <c r="E180" s="21">
        <f>1726*4</f>
        <v>6904</v>
      </c>
      <c r="F180" s="22">
        <v>0.05</v>
      </c>
      <c r="G180" s="21">
        <f t="shared" si="62"/>
        <v>7249.2</v>
      </c>
      <c r="H180" s="19" t="s">
        <v>43</v>
      </c>
      <c r="I180" s="23">
        <v>0.4</v>
      </c>
      <c r="J180" s="23">
        <v>63.036521739130443</v>
      </c>
      <c r="K180" s="23">
        <f t="shared" si="38"/>
        <v>0.56282608695652181</v>
      </c>
      <c r="L180" s="23">
        <f t="shared" si="6"/>
        <v>46</v>
      </c>
      <c r="M180" s="23">
        <v>0.6</v>
      </c>
      <c r="N180" s="24">
        <f t="shared" si="7"/>
        <v>2899.6800000000003</v>
      </c>
      <c r="O180" s="24">
        <f t="shared" si="63"/>
        <v>4349.5199999999995</v>
      </c>
      <c r="P180" s="24">
        <f t="shared" si="8"/>
        <v>7249.2</v>
      </c>
      <c r="Q180" s="25"/>
      <c r="R180" s="17"/>
      <c r="S180" s="17"/>
      <c r="T180" s="17"/>
      <c r="U180" s="17"/>
      <c r="V180" s="17"/>
      <c r="W180" s="17"/>
      <c r="X180" s="17"/>
      <c r="Y180" s="17"/>
      <c r="Z180" s="17"/>
      <c r="AA180" s="17"/>
      <c r="AB180" s="17"/>
      <c r="AC180" s="17"/>
      <c r="AD180" s="17"/>
      <c r="AE180" s="17"/>
      <c r="AF180" s="17"/>
      <c r="AG180" s="17"/>
      <c r="AH180" s="17"/>
      <c r="AI180" s="17"/>
      <c r="AJ180" s="17"/>
      <c r="AK180" s="17"/>
    </row>
    <row r="181" spans="1:37" ht="15.75" customHeight="1" x14ac:dyDescent="0.3">
      <c r="A181" s="18" t="str">
        <f t="shared" si="32"/>
        <v/>
      </c>
      <c r="B181" s="19"/>
      <c r="C181" s="19"/>
      <c r="D181" s="20"/>
      <c r="E181" s="21"/>
      <c r="F181" s="22"/>
      <c r="G181" s="21"/>
      <c r="H181" s="19"/>
      <c r="I181" s="23" t="s">
        <v>44</v>
      </c>
      <c r="J181" s="23" t="s">
        <v>44</v>
      </c>
      <c r="K181" s="23" t="str">
        <f t="shared" si="38"/>
        <v/>
      </c>
      <c r="L181" s="23" t="str">
        <f t="shared" si="6"/>
        <v/>
      </c>
      <c r="M181" s="23" t="s">
        <v>44</v>
      </c>
      <c r="N181" s="24" t="str">
        <f t="shared" si="7"/>
        <v/>
      </c>
      <c r="O181" s="24"/>
      <c r="P181" s="24" t="str">
        <f t="shared" si="8"/>
        <v/>
      </c>
      <c r="Q181" s="25"/>
      <c r="R181" s="17"/>
      <c r="S181" s="17"/>
      <c r="T181" s="17"/>
      <c r="U181" s="17"/>
      <c r="V181" s="17"/>
      <c r="W181" s="17"/>
      <c r="X181" s="17"/>
      <c r="Y181" s="17"/>
      <c r="Z181" s="17"/>
      <c r="AA181" s="17"/>
      <c r="AB181" s="17"/>
      <c r="AC181" s="17"/>
      <c r="AD181" s="17"/>
      <c r="AE181" s="17"/>
      <c r="AF181" s="17"/>
      <c r="AG181" s="17"/>
      <c r="AH181" s="17"/>
      <c r="AI181" s="17"/>
      <c r="AJ181" s="17"/>
      <c r="AK181" s="17"/>
    </row>
    <row r="182" spans="1:37" ht="15.75" customHeight="1" x14ac:dyDescent="0.3">
      <c r="A182" s="18" t="str">
        <f t="shared" si="32"/>
        <v/>
      </c>
      <c r="B182" s="19"/>
      <c r="C182" s="19"/>
      <c r="D182" s="40" t="s">
        <v>153</v>
      </c>
      <c r="E182" s="21"/>
      <c r="F182" s="22"/>
      <c r="G182" s="21"/>
      <c r="H182" s="19"/>
      <c r="I182" s="23" t="s">
        <v>44</v>
      </c>
      <c r="J182" s="23" t="s">
        <v>44</v>
      </c>
      <c r="K182" s="23" t="str">
        <f t="shared" si="38"/>
        <v/>
      </c>
      <c r="L182" s="23" t="str">
        <f t="shared" si="6"/>
        <v/>
      </c>
      <c r="M182" s="23" t="s">
        <v>44</v>
      </c>
      <c r="N182" s="24" t="str">
        <f t="shared" si="7"/>
        <v/>
      </c>
      <c r="O182" s="24"/>
      <c r="P182" s="24" t="str">
        <f t="shared" si="8"/>
        <v/>
      </c>
      <c r="Q182" s="25"/>
      <c r="R182" s="17"/>
      <c r="S182" s="17"/>
      <c r="T182" s="17"/>
      <c r="U182" s="17"/>
      <c r="V182" s="17"/>
      <c r="W182" s="17"/>
      <c r="X182" s="17"/>
      <c r="Y182" s="17"/>
      <c r="Z182" s="17"/>
      <c r="AA182" s="17"/>
      <c r="AB182" s="17"/>
      <c r="AC182" s="17"/>
      <c r="AD182" s="17"/>
      <c r="AE182" s="17"/>
      <c r="AF182" s="17"/>
      <c r="AG182" s="17"/>
      <c r="AH182" s="17"/>
      <c r="AI182" s="17"/>
      <c r="AJ182" s="17"/>
      <c r="AK182" s="17"/>
    </row>
    <row r="183" spans="1:37" ht="15.75" customHeight="1" x14ac:dyDescent="0.3">
      <c r="A183" s="18">
        <f t="shared" si="32"/>
        <v>112</v>
      </c>
      <c r="B183" s="19" t="s">
        <v>51</v>
      </c>
      <c r="C183" s="19" t="s">
        <v>58</v>
      </c>
      <c r="D183" s="20" t="s">
        <v>154</v>
      </c>
      <c r="E183" s="21">
        <f>1468*8.33*4</f>
        <v>48913.760000000002</v>
      </c>
      <c r="F183" s="22">
        <v>0.05</v>
      </c>
      <c r="G183" s="21">
        <f t="shared" ref="G183:G188" si="64">E183+(E183*F183)</f>
        <v>51359.448000000004</v>
      </c>
      <c r="H183" s="19" t="s">
        <v>53</v>
      </c>
      <c r="I183" s="23">
        <v>0.68080000000000007</v>
      </c>
      <c r="J183" s="23">
        <v>760.11983040000018</v>
      </c>
      <c r="K183" s="23">
        <f t="shared" si="38"/>
        <v>6.7867842000000014</v>
      </c>
      <c r="L183" s="23">
        <f t="shared" si="6"/>
        <v>46</v>
      </c>
      <c r="M183" s="23">
        <v>1.0211999999999999</v>
      </c>
      <c r="N183" s="24">
        <f t="shared" si="7"/>
        <v>34965.512198400007</v>
      </c>
      <c r="O183" s="24">
        <f t="shared" ref="O183:O188" si="65">M183*G183</f>
        <v>52448.2682976</v>
      </c>
      <c r="P183" s="24">
        <f t="shared" si="8"/>
        <v>87413.780496000007</v>
      </c>
      <c r="Q183" s="25"/>
      <c r="R183" s="17"/>
      <c r="S183" s="17"/>
      <c r="T183" s="17"/>
      <c r="U183" s="17"/>
      <c r="V183" s="17"/>
      <c r="W183" s="17"/>
      <c r="X183" s="17"/>
      <c r="Y183" s="17"/>
      <c r="Z183" s="17"/>
      <c r="AA183" s="17"/>
      <c r="AB183" s="17"/>
      <c r="AC183" s="17"/>
      <c r="AD183" s="17"/>
      <c r="AE183" s="17"/>
      <c r="AF183" s="17"/>
      <c r="AG183" s="17"/>
      <c r="AH183" s="17"/>
      <c r="AI183" s="17"/>
      <c r="AJ183" s="17"/>
      <c r="AK183" s="17"/>
    </row>
    <row r="184" spans="1:37" ht="15.75" customHeight="1" x14ac:dyDescent="0.3">
      <c r="A184" s="18">
        <f t="shared" si="32"/>
        <v>113</v>
      </c>
      <c r="B184" s="19" t="s">
        <v>51</v>
      </c>
      <c r="C184" s="19" t="s">
        <v>58</v>
      </c>
      <c r="D184" s="20" t="s">
        <v>155</v>
      </c>
      <c r="E184" s="21">
        <f t="shared" ref="E184:E185" si="66">1468*8.33</f>
        <v>12228.44</v>
      </c>
      <c r="F184" s="22">
        <v>0.05</v>
      </c>
      <c r="G184" s="21">
        <f t="shared" si="64"/>
        <v>12839.862000000001</v>
      </c>
      <c r="H184" s="19" t="s">
        <v>53</v>
      </c>
      <c r="I184" s="23">
        <v>0.69920000000000004</v>
      </c>
      <c r="J184" s="23">
        <v>195.16590240000002</v>
      </c>
      <c r="K184" s="23">
        <f t="shared" si="38"/>
        <v>1.7425527000000003</v>
      </c>
      <c r="L184" s="23">
        <f t="shared" si="6"/>
        <v>46</v>
      </c>
      <c r="M184" s="23">
        <v>1.0488</v>
      </c>
      <c r="N184" s="24">
        <f t="shared" si="7"/>
        <v>8977.6315104000005</v>
      </c>
      <c r="O184" s="24">
        <f t="shared" si="65"/>
        <v>13466.4472656</v>
      </c>
      <c r="P184" s="24">
        <f t="shared" si="8"/>
        <v>22444.078776000002</v>
      </c>
      <c r="Q184" s="25"/>
      <c r="R184" s="17"/>
      <c r="S184" s="17"/>
      <c r="T184" s="17"/>
      <c r="U184" s="17"/>
      <c r="V184" s="17"/>
      <c r="W184" s="17"/>
      <c r="X184" s="17"/>
      <c r="Y184" s="17"/>
      <c r="Z184" s="17"/>
      <c r="AA184" s="17"/>
      <c r="AB184" s="17"/>
      <c r="AC184" s="17"/>
      <c r="AD184" s="17"/>
      <c r="AE184" s="17"/>
      <c r="AF184" s="17"/>
      <c r="AG184" s="17"/>
      <c r="AH184" s="17"/>
      <c r="AI184" s="17"/>
      <c r="AJ184" s="17"/>
      <c r="AK184" s="17"/>
    </row>
    <row r="185" spans="1:37" ht="15.75" customHeight="1" x14ac:dyDescent="0.3">
      <c r="A185" s="18">
        <f t="shared" si="32"/>
        <v>114</v>
      </c>
      <c r="B185" s="19" t="s">
        <v>51</v>
      </c>
      <c r="C185" s="19" t="s">
        <v>58</v>
      </c>
      <c r="D185" s="20" t="s">
        <v>152</v>
      </c>
      <c r="E185" s="21">
        <f t="shared" si="66"/>
        <v>12228.44</v>
      </c>
      <c r="F185" s="22">
        <v>0.05</v>
      </c>
      <c r="G185" s="21">
        <f t="shared" si="64"/>
        <v>12839.862000000001</v>
      </c>
      <c r="H185" s="19" t="s">
        <v>53</v>
      </c>
      <c r="I185" s="23">
        <v>1.1039999999999999</v>
      </c>
      <c r="J185" s="23">
        <v>308.15668799999997</v>
      </c>
      <c r="K185" s="23">
        <f t="shared" si="38"/>
        <v>2.7513989999999997</v>
      </c>
      <c r="L185" s="23">
        <f t="shared" si="6"/>
        <v>46</v>
      </c>
      <c r="M185" s="23">
        <v>1.6559999999999999</v>
      </c>
      <c r="N185" s="24">
        <f t="shared" si="7"/>
        <v>14175.207648</v>
      </c>
      <c r="O185" s="24">
        <f t="shared" si="65"/>
        <v>21262.811472000001</v>
      </c>
      <c r="P185" s="24">
        <f t="shared" si="8"/>
        <v>35438.019119999997</v>
      </c>
      <c r="Q185" s="25"/>
      <c r="R185" s="17"/>
      <c r="S185" s="17"/>
      <c r="T185" s="17"/>
      <c r="U185" s="17"/>
      <c r="V185" s="17"/>
      <c r="W185" s="17"/>
      <c r="X185" s="17"/>
      <c r="Y185" s="17"/>
      <c r="Z185" s="17"/>
      <c r="AA185" s="17"/>
      <c r="AB185" s="17"/>
      <c r="AC185" s="17"/>
      <c r="AD185" s="17"/>
      <c r="AE185" s="17"/>
      <c r="AF185" s="17"/>
      <c r="AG185" s="17"/>
      <c r="AH185" s="17"/>
      <c r="AI185" s="17"/>
      <c r="AJ185" s="17"/>
      <c r="AK185" s="17"/>
    </row>
    <row r="186" spans="1:37" ht="15.75" customHeight="1" x14ac:dyDescent="0.3">
      <c r="A186" s="18">
        <f t="shared" si="32"/>
        <v>115</v>
      </c>
      <c r="B186" s="19" t="s">
        <v>51</v>
      </c>
      <c r="C186" s="19" t="s">
        <v>58</v>
      </c>
      <c r="D186" s="20" t="s">
        <v>138</v>
      </c>
      <c r="E186" s="21">
        <f>12228/1.33</f>
        <v>9193.9849624060153</v>
      </c>
      <c r="F186" s="22">
        <v>0.05</v>
      </c>
      <c r="G186" s="21">
        <f t="shared" si="64"/>
        <v>9653.6842105263167</v>
      </c>
      <c r="H186" s="19" t="s">
        <v>43</v>
      </c>
      <c r="I186" s="23">
        <v>1.6559999999999999</v>
      </c>
      <c r="J186" s="23">
        <v>347.53263157894742</v>
      </c>
      <c r="K186" s="23">
        <f t="shared" si="38"/>
        <v>3.1029699248120304</v>
      </c>
      <c r="L186" s="23">
        <f t="shared" si="6"/>
        <v>46</v>
      </c>
      <c r="M186" s="23">
        <v>2.484</v>
      </c>
      <c r="N186" s="24">
        <f t="shared" si="7"/>
        <v>15986.501052631582</v>
      </c>
      <c r="O186" s="24">
        <f t="shared" si="65"/>
        <v>23979.751578947369</v>
      </c>
      <c r="P186" s="24">
        <f t="shared" si="8"/>
        <v>39966.252631578951</v>
      </c>
      <c r="Q186" s="25"/>
      <c r="R186" s="17"/>
      <c r="S186" s="17"/>
      <c r="T186" s="17"/>
      <c r="U186" s="17"/>
      <c r="V186" s="17"/>
      <c r="W186" s="17"/>
      <c r="X186" s="17"/>
      <c r="Y186" s="17"/>
      <c r="Z186" s="17"/>
      <c r="AA186" s="17"/>
      <c r="AB186" s="17"/>
      <c r="AC186" s="17"/>
      <c r="AD186" s="17"/>
      <c r="AE186" s="17"/>
      <c r="AF186" s="17"/>
      <c r="AG186" s="17"/>
      <c r="AH186" s="17"/>
      <c r="AI186" s="17"/>
      <c r="AJ186" s="17"/>
      <c r="AK186" s="17"/>
    </row>
    <row r="187" spans="1:37" ht="15.75" customHeight="1" x14ac:dyDescent="0.3">
      <c r="A187" s="18">
        <f t="shared" si="32"/>
        <v>116</v>
      </c>
      <c r="B187" s="19" t="s">
        <v>51</v>
      </c>
      <c r="C187" s="19" t="s">
        <v>58</v>
      </c>
      <c r="D187" s="20" t="s">
        <v>139</v>
      </c>
      <c r="E187" s="21">
        <f>1468*2</f>
        <v>2936</v>
      </c>
      <c r="F187" s="22">
        <v>0.05</v>
      </c>
      <c r="G187" s="21">
        <f t="shared" si="64"/>
        <v>3082.8</v>
      </c>
      <c r="H187" s="19" t="s">
        <v>43</v>
      </c>
      <c r="I187" s="23">
        <v>1.1776</v>
      </c>
      <c r="J187" s="23">
        <v>78.91968</v>
      </c>
      <c r="K187" s="23">
        <f t="shared" si="38"/>
        <v>0.70464000000000004</v>
      </c>
      <c r="L187" s="23">
        <f t="shared" si="6"/>
        <v>46</v>
      </c>
      <c r="M187" s="23">
        <v>1.7664</v>
      </c>
      <c r="N187" s="24">
        <f t="shared" si="7"/>
        <v>3630.30528</v>
      </c>
      <c r="O187" s="24">
        <f t="shared" si="65"/>
        <v>5445.4579199999998</v>
      </c>
      <c r="P187" s="24">
        <f t="shared" si="8"/>
        <v>9075.7631999999994</v>
      </c>
      <c r="Q187" s="25"/>
      <c r="R187" s="17"/>
      <c r="S187" s="17"/>
      <c r="T187" s="17"/>
      <c r="U187" s="17"/>
      <c r="V187" s="17"/>
      <c r="W187" s="17"/>
      <c r="X187" s="17"/>
      <c r="Y187" s="17"/>
      <c r="Z187" s="17"/>
      <c r="AA187" s="17"/>
      <c r="AB187" s="17"/>
      <c r="AC187" s="17"/>
      <c r="AD187" s="17"/>
      <c r="AE187" s="17"/>
      <c r="AF187" s="17"/>
      <c r="AG187" s="17"/>
      <c r="AH187" s="17"/>
      <c r="AI187" s="17"/>
      <c r="AJ187" s="17"/>
      <c r="AK187" s="17"/>
    </row>
    <row r="188" spans="1:37" ht="15.75" customHeight="1" x14ac:dyDescent="0.3">
      <c r="A188" s="18">
        <f t="shared" si="32"/>
        <v>117</v>
      </c>
      <c r="B188" s="19" t="s">
        <v>51</v>
      </c>
      <c r="C188" s="19" t="s">
        <v>58</v>
      </c>
      <c r="D188" s="20" t="s">
        <v>134</v>
      </c>
      <c r="E188" s="21">
        <f>1468*4</f>
        <v>5872</v>
      </c>
      <c r="F188" s="22">
        <v>0.05</v>
      </c>
      <c r="G188" s="21">
        <f t="shared" si="64"/>
        <v>6165.6</v>
      </c>
      <c r="H188" s="19" t="s">
        <v>43</v>
      </c>
      <c r="I188" s="23">
        <v>0.4</v>
      </c>
      <c r="J188" s="23">
        <v>53.613913043478263</v>
      </c>
      <c r="K188" s="23">
        <f t="shared" si="38"/>
        <v>0.47869565217391308</v>
      </c>
      <c r="L188" s="23">
        <f t="shared" si="6"/>
        <v>46</v>
      </c>
      <c r="M188" s="23">
        <v>0.6</v>
      </c>
      <c r="N188" s="24">
        <f t="shared" si="7"/>
        <v>2466.2400000000002</v>
      </c>
      <c r="O188" s="24">
        <f t="shared" si="65"/>
        <v>3699.36</v>
      </c>
      <c r="P188" s="24">
        <f t="shared" si="8"/>
        <v>6165.6</v>
      </c>
      <c r="Q188" s="25"/>
      <c r="R188" s="17"/>
      <c r="S188" s="17"/>
      <c r="T188" s="17"/>
      <c r="U188" s="17"/>
      <c r="V188" s="17"/>
      <c r="W188" s="17"/>
      <c r="X188" s="17"/>
      <c r="Y188" s="17"/>
      <c r="Z188" s="17"/>
      <c r="AA188" s="17"/>
      <c r="AB188" s="17"/>
      <c r="AC188" s="17"/>
      <c r="AD188" s="17"/>
      <c r="AE188" s="17"/>
      <c r="AF188" s="17"/>
      <c r="AG188" s="17"/>
      <c r="AH188" s="17"/>
      <c r="AI188" s="17"/>
      <c r="AJ188" s="17"/>
      <c r="AK188" s="17"/>
    </row>
    <row r="189" spans="1:37" ht="15.75" customHeight="1" x14ac:dyDescent="0.3">
      <c r="A189" s="18" t="str">
        <f t="shared" si="32"/>
        <v/>
      </c>
      <c r="B189" s="19"/>
      <c r="C189" s="19"/>
      <c r="D189" s="20"/>
      <c r="E189" s="21"/>
      <c r="F189" s="22"/>
      <c r="G189" s="21"/>
      <c r="H189" s="19"/>
      <c r="I189" s="23" t="s">
        <v>44</v>
      </c>
      <c r="J189" s="23" t="s">
        <v>44</v>
      </c>
      <c r="K189" s="23" t="str">
        <f t="shared" si="38"/>
        <v/>
      </c>
      <c r="L189" s="23" t="str">
        <f t="shared" si="6"/>
        <v/>
      </c>
      <c r="M189" s="23" t="s">
        <v>44</v>
      </c>
      <c r="N189" s="24" t="str">
        <f t="shared" si="7"/>
        <v/>
      </c>
      <c r="O189" s="24"/>
      <c r="P189" s="24" t="str">
        <f t="shared" si="8"/>
        <v/>
      </c>
      <c r="Q189" s="25"/>
      <c r="R189" s="17"/>
      <c r="S189" s="17"/>
      <c r="T189" s="17"/>
      <c r="U189" s="17"/>
      <c r="V189" s="17"/>
      <c r="W189" s="17"/>
      <c r="X189" s="17"/>
      <c r="Y189" s="17"/>
      <c r="Z189" s="17"/>
      <c r="AA189" s="17"/>
      <c r="AB189" s="17"/>
      <c r="AC189" s="17"/>
      <c r="AD189" s="17"/>
      <c r="AE189" s="17"/>
      <c r="AF189" s="17"/>
      <c r="AG189" s="17"/>
      <c r="AH189" s="17"/>
      <c r="AI189" s="17"/>
      <c r="AJ189" s="17"/>
      <c r="AK189" s="17"/>
    </row>
    <row r="190" spans="1:37" ht="15.75" customHeight="1" x14ac:dyDescent="0.3">
      <c r="A190" s="18">
        <f t="shared" si="32"/>
        <v>118</v>
      </c>
      <c r="B190" s="19" t="s">
        <v>51</v>
      </c>
      <c r="C190" s="19" t="s">
        <v>58</v>
      </c>
      <c r="D190" s="20" t="s">
        <v>156</v>
      </c>
      <c r="E190" s="21">
        <v>243377.26</v>
      </c>
      <c r="F190" s="22">
        <v>0.1</v>
      </c>
      <c r="G190" s="21">
        <f t="shared" ref="G190:G192" si="67">E190+(E190*F190)</f>
        <v>267714.98600000003</v>
      </c>
      <c r="H190" s="19" t="s">
        <v>41</v>
      </c>
      <c r="I190" s="23">
        <v>2.3200000000000002E-2</v>
      </c>
      <c r="J190" s="23">
        <v>135.02147120000001</v>
      </c>
      <c r="K190" s="23">
        <f t="shared" si="38"/>
        <v>1.20554885</v>
      </c>
      <c r="L190" s="23">
        <f t="shared" si="6"/>
        <v>46</v>
      </c>
      <c r="M190" s="23">
        <v>3.4799999999999998E-2</v>
      </c>
      <c r="N190" s="24">
        <f t="shared" si="7"/>
        <v>6210.9876752</v>
      </c>
      <c r="O190" s="24">
        <f t="shared" ref="O190:O192" si="68">M190*G190</f>
        <v>9316.4815128000009</v>
      </c>
      <c r="P190" s="24">
        <f t="shared" si="8"/>
        <v>15527.469188000001</v>
      </c>
      <c r="Q190" s="25"/>
      <c r="R190" s="17"/>
      <c r="S190" s="17"/>
      <c r="T190" s="17"/>
      <c r="U190" s="17"/>
      <c r="V190" s="17"/>
      <c r="W190" s="17"/>
      <c r="X190" s="17"/>
      <c r="Y190" s="17"/>
      <c r="Z190" s="17"/>
      <c r="AA190" s="17"/>
      <c r="AB190" s="17"/>
      <c r="AC190" s="17"/>
      <c r="AD190" s="17"/>
      <c r="AE190" s="17"/>
      <c r="AF190" s="17"/>
      <c r="AG190" s="17"/>
      <c r="AH190" s="17"/>
      <c r="AI190" s="17"/>
      <c r="AJ190" s="17"/>
      <c r="AK190" s="17"/>
    </row>
    <row r="191" spans="1:37" ht="15.75" customHeight="1" x14ac:dyDescent="0.3">
      <c r="A191" s="18">
        <f t="shared" si="32"/>
        <v>119</v>
      </c>
      <c r="B191" s="19" t="s">
        <v>51</v>
      </c>
      <c r="C191" s="19" t="s">
        <v>58</v>
      </c>
      <c r="D191" s="20" t="s">
        <v>157</v>
      </c>
      <c r="E191" s="21">
        <v>243.37726000000001</v>
      </c>
      <c r="F191" s="22">
        <v>0.1</v>
      </c>
      <c r="G191" s="21">
        <f t="shared" si="67"/>
        <v>267.71498600000001</v>
      </c>
      <c r="H191" s="19" t="s">
        <v>158</v>
      </c>
      <c r="I191" s="23">
        <v>3</v>
      </c>
      <c r="J191" s="23">
        <v>17.459673000000002</v>
      </c>
      <c r="K191" s="23">
        <f t="shared" si="38"/>
        <v>0.15588993750000002</v>
      </c>
      <c r="L191" s="23">
        <f t="shared" si="6"/>
        <v>46</v>
      </c>
      <c r="M191" s="23">
        <v>4.5</v>
      </c>
      <c r="N191" s="24">
        <f t="shared" si="7"/>
        <v>803.14495800000009</v>
      </c>
      <c r="O191" s="24">
        <f t="shared" si="68"/>
        <v>1204.717437</v>
      </c>
      <c r="P191" s="24">
        <f t="shared" si="8"/>
        <v>2007.8623950000001</v>
      </c>
      <c r="Q191" s="25"/>
      <c r="R191" s="17"/>
      <c r="S191" s="17"/>
      <c r="T191" s="17"/>
      <c r="U191" s="17"/>
      <c r="V191" s="17"/>
      <c r="W191" s="17"/>
      <c r="X191" s="17"/>
      <c r="Y191" s="17"/>
      <c r="Z191" s="17"/>
      <c r="AA191" s="17"/>
      <c r="AB191" s="17"/>
      <c r="AC191" s="17"/>
      <c r="AD191" s="17"/>
      <c r="AE191" s="17"/>
      <c r="AF191" s="17"/>
      <c r="AG191" s="17"/>
      <c r="AH191" s="17"/>
      <c r="AI191" s="17"/>
      <c r="AJ191" s="17"/>
      <c r="AK191" s="17"/>
    </row>
    <row r="192" spans="1:37" ht="15.75" customHeight="1" x14ac:dyDescent="0.3">
      <c r="A192" s="18">
        <f t="shared" si="32"/>
        <v>120</v>
      </c>
      <c r="B192" s="19" t="s">
        <v>51</v>
      </c>
      <c r="C192" s="19" t="s">
        <v>58</v>
      </c>
      <c r="D192" s="20" t="s">
        <v>159</v>
      </c>
      <c r="E192" s="21">
        <v>2433.7726000000002</v>
      </c>
      <c r="F192" s="22">
        <v>0.1</v>
      </c>
      <c r="G192" s="21">
        <f t="shared" si="67"/>
        <v>2677.1498600000004</v>
      </c>
      <c r="H192" s="19" t="s">
        <v>160</v>
      </c>
      <c r="I192" s="23">
        <v>1.9600000000000002</v>
      </c>
      <c r="J192" s="23">
        <v>114.06986360000003</v>
      </c>
      <c r="K192" s="23">
        <f t="shared" si="38"/>
        <v>1.0184809250000002</v>
      </c>
      <c r="L192" s="23">
        <f t="shared" si="6"/>
        <v>46</v>
      </c>
      <c r="M192" s="23">
        <v>2.9400000000000004</v>
      </c>
      <c r="N192" s="24">
        <f t="shared" si="7"/>
        <v>5247.2137256000015</v>
      </c>
      <c r="O192" s="24">
        <f t="shared" si="68"/>
        <v>7870.8205884000026</v>
      </c>
      <c r="P192" s="24">
        <f t="shared" si="8"/>
        <v>13118.034314000004</v>
      </c>
      <c r="Q192" s="25"/>
      <c r="R192" s="17"/>
      <c r="S192" s="17"/>
      <c r="T192" s="17"/>
      <c r="U192" s="17"/>
      <c r="V192" s="17"/>
      <c r="W192" s="17"/>
      <c r="X192" s="17"/>
      <c r="Y192" s="17"/>
      <c r="Z192" s="17"/>
      <c r="AA192" s="17"/>
      <c r="AB192" s="17"/>
      <c r="AC192" s="17"/>
      <c r="AD192" s="17"/>
      <c r="AE192" s="17"/>
      <c r="AF192" s="17"/>
      <c r="AG192" s="17"/>
      <c r="AH192" s="17"/>
      <c r="AI192" s="17"/>
      <c r="AJ192" s="17"/>
      <c r="AK192" s="17"/>
    </row>
    <row r="193" spans="1:37" ht="15.75" customHeight="1" x14ac:dyDescent="0.3">
      <c r="A193" s="18" t="str">
        <f t="shared" si="32"/>
        <v/>
      </c>
      <c r="B193" s="19"/>
      <c r="C193" s="19"/>
      <c r="D193" s="20"/>
      <c r="E193" s="21"/>
      <c r="F193" s="22"/>
      <c r="G193" s="21"/>
      <c r="H193" s="19"/>
      <c r="I193" s="23" t="s">
        <v>44</v>
      </c>
      <c r="J193" s="23" t="s">
        <v>44</v>
      </c>
      <c r="K193" s="23" t="str">
        <f t="shared" si="38"/>
        <v/>
      </c>
      <c r="L193" s="23" t="str">
        <f t="shared" si="6"/>
        <v/>
      </c>
      <c r="M193" s="23" t="s">
        <v>44</v>
      </c>
      <c r="N193" s="24" t="str">
        <f t="shared" si="7"/>
        <v/>
      </c>
      <c r="O193" s="24"/>
      <c r="P193" s="24" t="str">
        <f t="shared" si="8"/>
        <v/>
      </c>
      <c r="Q193" s="25"/>
      <c r="R193" s="17"/>
      <c r="S193" s="17"/>
      <c r="T193" s="17"/>
      <c r="U193" s="17"/>
      <c r="V193" s="17"/>
      <c r="W193" s="17"/>
      <c r="X193" s="17"/>
      <c r="Y193" s="17"/>
      <c r="Z193" s="17"/>
      <c r="AA193" s="17"/>
      <c r="AB193" s="17"/>
      <c r="AC193" s="17"/>
      <c r="AD193" s="17"/>
      <c r="AE193" s="17"/>
      <c r="AF193" s="17"/>
      <c r="AG193" s="17"/>
      <c r="AH193" s="17"/>
      <c r="AI193" s="17"/>
      <c r="AJ193" s="17"/>
      <c r="AK193" s="17"/>
    </row>
    <row r="194" spans="1:37" ht="15.75" customHeight="1" x14ac:dyDescent="0.3">
      <c r="A194" s="18" t="str">
        <f t="shared" si="32"/>
        <v/>
      </c>
      <c r="B194" s="19"/>
      <c r="C194" s="19"/>
      <c r="D194" s="160" t="s">
        <v>328</v>
      </c>
      <c r="E194" s="21"/>
      <c r="F194" s="22"/>
      <c r="G194" s="21"/>
      <c r="H194" s="19"/>
      <c r="I194" s="23" t="s">
        <v>44</v>
      </c>
      <c r="J194" s="23" t="s">
        <v>44</v>
      </c>
      <c r="K194" s="23" t="str">
        <f t="shared" si="38"/>
        <v/>
      </c>
      <c r="L194" s="23" t="str">
        <f t="shared" si="6"/>
        <v/>
      </c>
      <c r="M194" s="23" t="s">
        <v>44</v>
      </c>
      <c r="N194" s="24" t="str">
        <f t="shared" si="7"/>
        <v/>
      </c>
      <c r="O194" s="24"/>
      <c r="P194" s="24" t="str">
        <f t="shared" si="8"/>
        <v/>
      </c>
      <c r="Q194" s="25"/>
      <c r="R194" s="17"/>
      <c r="S194" s="17"/>
      <c r="T194" s="17"/>
      <c r="U194" s="17"/>
      <c r="V194" s="17"/>
      <c r="W194" s="17"/>
      <c r="X194" s="17"/>
      <c r="Y194" s="17"/>
      <c r="Z194" s="17"/>
      <c r="AA194" s="17"/>
      <c r="AB194" s="17"/>
      <c r="AC194" s="17"/>
      <c r="AD194" s="17"/>
      <c r="AE194" s="17"/>
      <c r="AF194" s="17"/>
      <c r="AG194" s="17"/>
      <c r="AH194" s="17"/>
      <c r="AI194" s="17"/>
      <c r="AJ194" s="17"/>
      <c r="AK194" s="17"/>
    </row>
    <row r="195" spans="1:37" ht="15.75" customHeight="1" x14ac:dyDescent="0.3">
      <c r="A195" s="18">
        <f t="shared" si="32"/>
        <v>121</v>
      </c>
      <c r="B195" s="19" t="s">
        <v>51</v>
      </c>
      <c r="C195" s="19"/>
      <c r="D195" s="20" t="s">
        <v>161</v>
      </c>
      <c r="E195" s="21">
        <v>18262</v>
      </c>
      <c r="F195" s="22">
        <v>0.1</v>
      </c>
      <c r="G195" s="21">
        <f t="shared" ref="G195:G203" si="69">E195+(E195*F195)</f>
        <v>20088.2</v>
      </c>
      <c r="H195" s="19" t="s">
        <v>53</v>
      </c>
      <c r="I195" s="23">
        <v>0.60000000000000009</v>
      </c>
      <c r="J195" s="23">
        <v>262.02000000000004</v>
      </c>
      <c r="K195" s="23">
        <f t="shared" si="38"/>
        <v>2.339464285714286</v>
      </c>
      <c r="L195" s="23">
        <f t="shared" si="6"/>
        <v>46</v>
      </c>
      <c r="M195" s="23">
        <v>0.89999999999999991</v>
      </c>
      <c r="N195" s="24">
        <f t="shared" si="7"/>
        <v>12052.920000000002</v>
      </c>
      <c r="O195" s="24">
        <f t="shared" ref="O195:O203" si="70">M195*G195</f>
        <v>18079.379999999997</v>
      </c>
      <c r="P195" s="24">
        <f t="shared" si="8"/>
        <v>30132.3</v>
      </c>
      <c r="Q195" s="25"/>
      <c r="R195" s="17"/>
      <c r="S195" s="17"/>
      <c r="T195" s="17"/>
      <c r="U195" s="17"/>
      <c r="V195" s="17"/>
      <c r="W195" s="17"/>
      <c r="X195" s="17"/>
      <c r="Y195" s="17"/>
      <c r="Z195" s="17"/>
      <c r="AA195" s="17"/>
      <c r="AB195" s="17"/>
      <c r="AC195" s="17"/>
      <c r="AD195" s="17"/>
      <c r="AE195" s="17"/>
      <c r="AF195" s="17"/>
      <c r="AG195" s="17"/>
      <c r="AH195" s="17"/>
      <c r="AI195" s="17"/>
      <c r="AJ195" s="17"/>
      <c r="AK195" s="17"/>
    </row>
    <row r="196" spans="1:37" ht="15.75" customHeight="1" x14ac:dyDescent="0.3">
      <c r="A196" s="18">
        <f t="shared" si="32"/>
        <v>122</v>
      </c>
      <c r="B196" s="19" t="s">
        <v>51</v>
      </c>
      <c r="C196" s="19"/>
      <c r="D196" s="20" t="s">
        <v>162</v>
      </c>
      <c r="E196" s="21">
        <v>1018.65</v>
      </c>
      <c r="F196" s="22">
        <v>0.1</v>
      </c>
      <c r="G196" s="21">
        <f t="shared" si="69"/>
        <v>1120.5149999999999</v>
      </c>
      <c r="H196" s="19" t="s">
        <v>53</v>
      </c>
      <c r="I196" s="23">
        <v>5.6000000000000005</v>
      </c>
      <c r="J196" s="23">
        <v>136.41052173913044</v>
      </c>
      <c r="K196" s="23">
        <f t="shared" si="38"/>
        <v>1.2179510869565218</v>
      </c>
      <c r="L196" s="23">
        <f t="shared" si="6"/>
        <v>46</v>
      </c>
      <c r="M196" s="23">
        <v>8.3999999999999986</v>
      </c>
      <c r="N196" s="24">
        <f t="shared" si="7"/>
        <v>6274.884</v>
      </c>
      <c r="O196" s="24">
        <f t="shared" si="70"/>
        <v>9412.3259999999973</v>
      </c>
      <c r="P196" s="24">
        <f t="shared" si="8"/>
        <v>15687.209999999997</v>
      </c>
      <c r="Q196" s="25"/>
      <c r="R196" s="17"/>
      <c r="S196" s="17"/>
      <c r="T196" s="17"/>
      <c r="U196" s="17"/>
      <c r="V196" s="17"/>
      <c r="W196" s="17"/>
      <c r="X196" s="17"/>
      <c r="Y196" s="17"/>
      <c r="Z196" s="17"/>
      <c r="AA196" s="17"/>
      <c r="AB196" s="17"/>
      <c r="AC196" s="17"/>
      <c r="AD196" s="17"/>
      <c r="AE196" s="17"/>
      <c r="AF196" s="17"/>
      <c r="AG196" s="17"/>
      <c r="AH196" s="17"/>
      <c r="AI196" s="17"/>
      <c r="AJ196" s="17"/>
      <c r="AK196" s="17"/>
    </row>
    <row r="197" spans="1:37" ht="15.75" customHeight="1" x14ac:dyDescent="0.3">
      <c r="A197" s="18">
        <f t="shared" si="32"/>
        <v>123</v>
      </c>
      <c r="B197" s="19" t="s">
        <v>51</v>
      </c>
      <c r="C197" s="19"/>
      <c r="D197" s="20" t="s">
        <v>163</v>
      </c>
      <c r="E197" s="21">
        <v>4572.88</v>
      </c>
      <c r="F197" s="22">
        <v>0.1</v>
      </c>
      <c r="G197" s="21">
        <f t="shared" si="69"/>
        <v>5030.1679999999997</v>
      </c>
      <c r="H197" s="19" t="s">
        <v>53</v>
      </c>
      <c r="I197" s="23">
        <v>4</v>
      </c>
      <c r="J197" s="23">
        <v>437.40591304347822</v>
      </c>
      <c r="K197" s="23">
        <f t="shared" si="38"/>
        <v>3.9054099378881983</v>
      </c>
      <c r="L197" s="23">
        <f t="shared" si="6"/>
        <v>46</v>
      </c>
      <c r="M197" s="23">
        <v>6</v>
      </c>
      <c r="N197" s="24">
        <f t="shared" si="7"/>
        <v>20120.671999999999</v>
      </c>
      <c r="O197" s="24">
        <f t="shared" si="70"/>
        <v>30181.007999999998</v>
      </c>
      <c r="P197" s="24">
        <f t="shared" si="8"/>
        <v>50301.679999999993</v>
      </c>
      <c r="Q197" s="25"/>
      <c r="R197" s="17"/>
      <c r="S197" s="17"/>
      <c r="T197" s="17"/>
      <c r="U197" s="17"/>
      <c r="V197" s="17"/>
      <c r="W197" s="17"/>
      <c r="X197" s="17"/>
      <c r="Y197" s="17"/>
      <c r="Z197" s="17"/>
      <c r="AA197" s="17"/>
      <c r="AB197" s="17"/>
      <c r="AC197" s="17"/>
      <c r="AD197" s="17"/>
      <c r="AE197" s="17"/>
      <c r="AF197" s="17"/>
      <c r="AG197" s="17"/>
      <c r="AH197" s="17"/>
      <c r="AI197" s="17"/>
      <c r="AJ197" s="17"/>
      <c r="AK197" s="17"/>
    </row>
    <row r="198" spans="1:37" ht="15.75" customHeight="1" x14ac:dyDescent="0.3">
      <c r="A198" s="18">
        <f t="shared" si="32"/>
        <v>124</v>
      </c>
      <c r="B198" s="19" t="s">
        <v>51</v>
      </c>
      <c r="C198" s="19"/>
      <c r="D198" s="20" t="s">
        <v>164</v>
      </c>
      <c r="E198" s="21">
        <v>768.67</v>
      </c>
      <c r="F198" s="22">
        <v>0.1</v>
      </c>
      <c r="G198" s="21">
        <f t="shared" si="69"/>
        <v>845.53699999999992</v>
      </c>
      <c r="H198" s="19" t="s">
        <v>53</v>
      </c>
      <c r="I198" s="23">
        <v>3</v>
      </c>
      <c r="J198" s="23">
        <v>55.143717391304342</v>
      </c>
      <c r="K198" s="23">
        <f t="shared" si="38"/>
        <v>0.49235461956521737</v>
      </c>
      <c r="L198" s="23">
        <f t="shared" si="6"/>
        <v>46</v>
      </c>
      <c r="M198" s="23">
        <v>4.5</v>
      </c>
      <c r="N198" s="24">
        <f t="shared" si="7"/>
        <v>2536.6109999999999</v>
      </c>
      <c r="O198" s="24">
        <f t="shared" si="70"/>
        <v>3804.9164999999998</v>
      </c>
      <c r="P198" s="24">
        <f t="shared" si="8"/>
        <v>6341.5275000000001</v>
      </c>
      <c r="Q198" s="25"/>
      <c r="R198" s="17"/>
      <c r="S198" s="17"/>
      <c r="T198" s="17"/>
      <c r="U198" s="17"/>
      <c r="V198" s="17"/>
      <c r="W198" s="17"/>
      <c r="X198" s="17"/>
      <c r="Y198" s="17"/>
      <c r="Z198" s="17"/>
      <c r="AA198" s="17"/>
      <c r="AB198" s="17"/>
      <c r="AC198" s="17"/>
      <c r="AD198" s="17"/>
      <c r="AE198" s="17"/>
      <c r="AF198" s="17"/>
      <c r="AG198" s="17"/>
      <c r="AH198" s="17"/>
      <c r="AI198" s="17"/>
      <c r="AJ198" s="17"/>
      <c r="AK198" s="17"/>
    </row>
    <row r="199" spans="1:37" ht="15.75" customHeight="1" x14ac:dyDescent="0.3">
      <c r="A199" s="18">
        <f t="shared" si="32"/>
        <v>125</v>
      </c>
      <c r="B199" s="19" t="s">
        <v>51</v>
      </c>
      <c r="C199" s="19"/>
      <c r="D199" s="20" t="s">
        <v>165</v>
      </c>
      <c r="E199" s="21">
        <v>1852.69</v>
      </c>
      <c r="F199" s="22">
        <v>0.1</v>
      </c>
      <c r="G199" s="21">
        <f t="shared" si="69"/>
        <v>2037.9590000000001</v>
      </c>
      <c r="H199" s="19" t="s">
        <v>53</v>
      </c>
      <c r="I199" s="23">
        <v>5.6000000000000005</v>
      </c>
      <c r="J199" s="23">
        <v>248.09935652173914</v>
      </c>
      <c r="K199" s="23">
        <f t="shared" si="38"/>
        <v>2.2151728260869565</v>
      </c>
      <c r="L199" s="23">
        <f t="shared" si="6"/>
        <v>46</v>
      </c>
      <c r="M199" s="23">
        <v>8.3999999999999986</v>
      </c>
      <c r="N199" s="24">
        <f t="shared" si="7"/>
        <v>11412.570400000001</v>
      </c>
      <c r="O199" s="24">
        <f t="shared" si="70"/>
        <v>17118.855599999999</v>
      </c>
      <c r="P199" s="24">
        <f t="shared" si="8"/>
        <v>28531.425999999999</v>
      </c>
      <c r="Q199" s="25"/>
      <c r="R199" s="17"/>
      <c r="S199" s="17"/>
      <c r="T199" s="17"/>
      <c r="U199" s="17"/>
      <c r="V199" s="17"/>
      <c r="W199" s="17"/>
      <c r="X199" s="17"/>
      <c r="Y199" s="17"/>
      <c r="Z199" s="17"/>
      <c r="AA199" s="17"/>
      <c r="AB199" s="17"/>
      <c r="AC199" s="17"/>
      <c r="AD199" s="17"/>
      <c r="AE199" s="17"/>
      <c r="AF199" s="17"/>
      <c r="AG199" s="17"/>
      <c r="AH199" s="17"/>
      <c r="AI199" s="17"/>
      <c r="AJ199" s="17"/>
      <c r="AK199" s="17"/>
    </row>
    <row r="200" spans="1:37" ht="15.75" customHeight="1" x14ac:dyDescent="0.3">
      <c r="A200" s="18">
        <f t="shared" si="32"/>
        <v>126</v>
      </c>
      <c r="B200" s="19" t="s">
        <v>51</v>
      </c>
      <c r="C200" s="19"/>
      <c r="D200" s="20" t="s">
        <v>166</v>
      </c>
      <c r="E200" s="21">
        <v>2406</v>
      </c>
      <c r="F200" s="22">
        <v>0.1</v>
      </c>
      <c r="G200" s="21">
        <f t="shared" si="69"/>
        <v>2646.6</v>
      </c>
      <c r="H200" s="19" t="s">
        <v>53</v>
      </c>
      <c r="I200" s="23">
        <v>4</v>
      </c>
      <c r="J200" s="23">
        <v>230.1391304347826</v>
      </c>
      <c r="K200" s="23">
        <f t="shared" si="38"/>
        <v>2.0548136645962733</v>
      </c>
      <c r="L200" s="23">
        <f t="shared" si="6"/>
        <v>46</v>
      </c>
      <c r="M200" s="23">
        <v>6</v>
      </c>
      <c r="N200" s="24">
        <f t="shared" si="7"/>
        <v>10586.4</v>
      </c>
      <c r="O200" s="24">
        <f t="shared" si="70"/>
        <v>15879.599999999999</v>
      </c>
      <c r="P200" s="24">
        <f t="shared" si="8"/>
        <v>26466</v>
      </c>
      <c r="Q200" s="25"/>
      <c r="R200" s="17"/>
      <c r="S200" s="17"/>
      <c r="T200" s="17"/>
      <c r="U200" s="17"/>
      <c r="V200" s="17"/>
      <c r="W200" s="17"/>
      <c r="X200" s="17"/>
      <c r="Y200" s="17"/>
      <c r="Z200" s="17"/>
      <c r="AA200" s="17"/>
      <c r="AB200" s="17"/>
      <c r="AC200" s="17"/>
      <c r="AD200" s="17"/>
      <c r="AE200" s="17"/>
      <c r="AF200" s="17"/>
      <c r="AG200" s="17"/>
      <c r="AH200" s="17"/>
      <c r="AI200" s="17"/>
      <c r="AJ200" s="17"/>
      <c r="AK200" s="17"/>
    </row>
    <row r="201" spans="1:37" ht="15.75" customHeight="1" x14ac:dyDescent="0.3">
      <c r="A201" s="18">
        <f t="shared" si="32"/>
        <v>127</v>
      </c>
      <c r="B201" s="19" t="s">
        <v>51</v>
      </c>
      <c r="C201" s="19"/>
      <c r="D201" s="20" t="s">
        <v>167</v>
      </c>
      <c r="E201" s="21">
        <v>2852.64</v>
      </c>
      <c r="F201" s="22">
        <v>0.1</v>
      </c>
      <c r="G201" s="21">
        <f t="shared" si="69"/>
        <v>3137.904</v>
      </c>
      <c r="H201" s="19" t="s">
        <v>53</v>
      </c>
      <c r="I201" s="23">
        <v>4</v>
      </c>
      <c r="J201" s="23">
        <v>272.86121739130436</v>
      </c>
      <c r="K201" s="23">
        <f t="shared" si="38"/>
        <v>2.4362608695652175</v>
      </c>
      <c r="L201" s="23">
        <f t="shared" si="6"/>
        <v>46</v>
      </c>
      <c r="M201" s="23">
        <v>6</v>
      </c>
      <c r="N201" s="24">
        <f t="shared" si="7"/>
        <v>12551.616</v>
      </c>
      <c r="O201" s="24">
        <f t="shared" si="70"/>
        <v>18827.423999999999</v>
      </c>
      <c r="P201" s="24">
        <f t="shared" si="8"/>
        <v>31379.040000000001</v>
      </c>
      <c r="Q201" s="25"/>
      <c r="R201" s="17"/>
      <c r="S201" s="17"/>
      <c r="T201" s="17"/>
      <c r="U201" s="17"/>
      <c r="V201" s="17"/>
      <c r="W201" s="17"/>
      <c r="X201" s="17"/>
      <c r="Y201" s="17"/>
      <c r="Z201" s="17"/>
      <c r="AA201" s="17"/>
      <c r="AB201" s="17"/>
      <c r="AC201" s="17"/>
      <c r="AD201" s="17"/>
      <c r="AE201" s="17"/>
      <c r="AF201" s="17"/>
      <c r="AG201" s="17"/>
      <c r="AH201" s="17"/>
      <c r="AI201" s="17"/>
      <c r="AJ201" s="17"/>
      <c r="AK201" s="17"/>
    </row>
    <row r="202" spans="1:37" ht="15.75" customHeight="1" x14ac:dyDescent="0.3">
      <c r="A202" s="18">
        <f t="shared" si="32"/>
        <v>128</v>
      </c>
      <c r="B202" s="19" t="s">
        <v>51</v>
      </c>
      <c r="C202" s="19"/>
      <c r="D202" s="20" t="s">
        <v>168</v>
      </c>
      <c r="E202" s="21">
        <v>28697.1</v>
      </c>
      <c r="F202" s="22">
        <v>0.1</v>
      </c>
      <c r="G202" s="21">
        <f t="shared" si="69"/>
        <v>31566.809999999998</v>
      </c>
      <c r="H202" s="19" t="s">
        <v>53</v>
      </c>
      <c r="I202" s="23">
        <v>3</v>
      </c>
      <c r="J202" s="23">
        <v>2058.7049999999999</v>
      </c>
      <c r="K202" s="23">
        <f t="shared" si="38"/>
        <v>18.381294642857142</v>
      </c>
      <c r="L202" s="23">
        <f t="shared" si="6"/>
        <v>46</v>
      </c>
      <c r="M202" s="23">
        <v>4.5</v>
      </c>
      <c r="N202" s="24">
        <f t="shared" si="7"/>
        <v>94700.43</v>
      </c>
      <c r="O202" s="24">
        <f t="shared" si="70"/>
        <v>142050.64499999999</v>
      </c>
      <c r="P202" s="24">
        <f t="shared" si="8"/>
        <v>236751.07499999998</v>
      </c>
      <c r="Q202" s="25"/>
      <c r="R202" s="17"/>
      <c r="S202" s="17"/>
      <c r="T202" s="17"/>
      <c r="U202" s="17"/>
      <c r="V202" s="17"/>
      <c r="W202" s="17"/>
      <c r="X202" s="17"/>
      <c r="Y202" s="17"/>
      <c r="Z202" s="17"/>
      <c r="AA202" s="17"/>
      <c r="AB202" s="17"/>
      <c r="AC202" s="17"/>
      <c r="AD202" s="17"/>
      <c r="AE202" s="17"/>
      <c r="AF202" s="17"/>
      <c r="AG202" s="17"/>
      <c r="AH202" s="17"/>
      <c r="AI202" s="17"/>
      <c r="AJ202" s="17"/>
      <c r="AK202" s="17"/>
    </row>
    <row r="203" spans="1:37" ht="15.75" customHeight="1" x14ac:dyDescent="0.3">
      <c r="A203" s="18">
        <f t="shared" si="32"/>
        <v>129</v>
      </c>
      <c r="B203" s="19" t="s">
        <v>51</v>
      </c>
      <c r="C203" s="19"/>
      <c r="D203" s="20" t="s">
        <v>169</v>
      </c>
      <c r="E203" s="21">
        <v>2011.38</v>
      </c>
      <c r="F203" s="22">
        <v>0.1</v>
      </c>
      <c r="G203" s="21">
        <f t="shared" si="69"/>
        <v>2212.518</v>
      </c>
      <c r="H203" s="19" t="s">
        <v>53</v>
      </c>
      <c r="I203" s="23">
        <v>2.6</v>
      </c>
      <c r="J203" s="23">
        <v>125.05536521739131</v>
      </c>
      <c r="K203" s="23">
        <f t="shared" si="38"/>
        <v>1.1165657608695654</v>
      </c>
      <c r="L203" s="23">
        <f t="shared" si="6"/>
        <v>46</v>
      </c>
      <c r="M203" s="23">
        <v>3.9</v>
      </c>
      <c r="N203" s="24">
        <f t="shared" si="7"/>
        <v>5752.5468000000001</v>
      </c>
      <c r="O203" s="24">
        <f t="shared" si="70"/>
        <v>8628.8202000000001</v>
      </c>
      <c r="P203" s="24">
        <f t="shared" si="8"/>
        <v>14381.367</v>
      </c>
      <c r="Q203" s="25"/>
      <c r="R203" s="17"/>
      <c r="S203" s="17"/>
      <c r="T203" s="17"/>
      <c r="U203" s="17"/>
      <c r="V203" s="17"/>
      <c r="W203" s="17"/>
      <c r="X203" s="17"/>
      <c r="Y203" s="17"/>
      <c r="Z203" s="17"/>
      <c r="AA203" s="17"/>
      <c r="AB203" s="17"/>
      <c r="AC203" s="17"/>
      <c r="AD203" s="17"/>
      <c r="AE203" s="17"/>
      <c r="AF203" s="17"/>
      <c r="AG203" s="17"/>
      <c r="AH203" s="17"/>
      <c r="AI203" s="17"/>
      <c r="AJ203" s="17"/>
      <c r="AK203" s="17"/>
    </row>
    <row r="204" spans="1:37" ht="15.75" customHeight="1" x14ac:dyDescent="0.3">
      <c r="A204" s="18" t="str">
        <f t="shared" si="32"/>
        <v/>
      </c>
      <c r="B204" s="19"/>
      <c r="C204" s="19"/>
      <c r="D204" s="20"/>
      <c r="E204" s="21"/>
      <c r="F204" s="22"/>
      <c r="G204" s="21"/>
      <c r="H204" s="19"/>
      <c r="I204" s="23" t="s">
        <v>44</v>
      </c>
      <c r="J204" s="23" t="s">
        <v>44</v>
      </c>
      <c r="K204" s="23" t="str">
        <f t="shared" si="38"/>
        <v/>
      </c>
      <c r="L204" s="23" t="str">
        <f t="shared" si="6"/>
        <v/>
      </c>
      <c r="M204" s="23" t="s">
        <v>44</v>
      </c>
      <c r="N204" s="24" t="str">
        <f t="shared" si="7"/>
        <v/>
      </c>
      <c r="O204" s="24"/>
      <c r="P204" s="24" t="str">
        <f t="shared" si="8"/>
        <v/>
      </c>
      <c r="Q204" s="25"/>
      <c r="R204" s="17"/>
      <c r="S204" s="17"/>
      <c r="T204" s="17"/>
      <c r="U204" s="17"/>
      <c r="V204" s="17"/>
      <c r="W204" s="17"/>
      <c r="X204" s="17"/>
      <c r="Y204" s="17"/>
      <c r="Z204" s="17"/>
      <c r="AA204" s="17"/>
      <c r="AB204" s="17"/>
      <c r="AC204" s="17"/>
      <c r="AD204" s="17"/>
      <c r="AE204" s="17"/>
      <c r="AF204" s="17"/>
      <c r="AG204" s="17"/>
      <c r="AH204" s="17"/>
      <c r="AI204" s="17"/>
      <c r="AJ204" s="17"/>
      <c r="AK204" s="17"/>
    </row>
    <row r="205" spans="1:37" ht="15.75" customHeight="1" x14ac:dyDescent="0.3">
      <c r="A205" s="18" t="str">
        <f t="shared" si="32"/>
        <v/>
      </c>
      <c r="B205" s="19"/>
      <c r="C205" s="19"/>
      <c r="D205" s="160" t="s">
        <v>329</v>
      </c>
      <c r="E205" s="21"/>
      <c r="F205" s="22"/>
      <c r="G205" s="21"/>
      <c r="H205" s="19"/>
      <c r="I205" s="23" t="s">
        <v>44</v>
      </c>
      <c r="J205" s="23" t="s">
        <v>44</v>
      </c>
      <c r="K205" s="23" t="str">
        <f t="shared" si="38"/>
        <v/>
      </c>
      <c r="L205" s="23" t="str">
        <f t="shared" si="6"/>
        <v/>
      </c>
      <c r="M205" s="23" t="s">
        <v>44</v>
      </c>
      <c r="N205" s="24" t="str">
        <f t="shared" si="7"/>
        <v/>
      </c>
      <c r="O205" s="24"/>
      <c r="P205" s="24" t="str">
        <f t="shared" si="8"/>
        <v/>
      </c>
      <c r="Q205" s="25"/>
      <c r="R205" s="17"/>
      <c r="S205" s="17"/>
      <c r="T205" s="17"/>
      <c r="U205" s="17"/>
      <c r="V205" s="17"/>
      <c r="W205" s="17"/>
      <c r="X205" s="17"/>
      <c r="Y205" s="17"/>
      <c r="Z205" s="17"/>
      <c r="AA205" s="17"/>
      <c r="AB205" s="17"/>
      <c r="AC205" s="17"/>
      <c r="AD205" s="17"/>
      <c r="AE205" s="17"/>
      <c r="AF205" s="17"/>
      <c r="AG205" s="17"/>
      <c r="AH205" s="17"/>
      <c r="AI205" s="17"/>
      <c r="AJ205" s="17"/>
      <c r="AK205" s="17"/>
    </row>
    <row r="206" spans="1:37" ht="15.75" customHeight="1" x14ac:dyDescent="0.3">
      <c r="A206" s="18">
        <f t="shared" si="32"/>
        <v>130</v>
      </c>
      <c r="B206" s="19" t="s">
        <v>51</v>
      </c>
      <c r="C206" s="19"/>
      <c r="D206" s="20" t="s">
        <v>170</v>
      </c>
      <c r="E206" s="21">
        <v>706</v>
      </c>
      <c r="F206" s="22">
        <v>0.1</v>
      </c>
      <c r="G206" s="21">
        <f t="shared" ref="G206:G207" si="71">E206+(E206*F206)</f>
        <v>776.6</v>
      </c>
      <c r="H206" s="19" t="s">
        <v>53</v>
      </c>
      <c r="I206" s="23">
        <v>3.4000000000000004</v>
      </c>
      <c r="J206" s="23">
        <v>57.400869565217405</v>
      </c>
      <c r="K206" s="23">
        <f t="shared" si="38"/>
        <v>0.51250776397515541</v>
      </c>
      <c r="L206" s="23">
        <f t="shared" si="6"/>
        <v>46</v>
      </c>
      <c r="M206" s="23">
        <v>5.0999999999999996</v>
      </c>
      <c r="N206" s="24">
        <f t="shared" si="7"/>
        <v>2640.4400000000005</v>
      </c>
      <c r="O206" s="24">
        <f t="shared" ref="O206:O207" si="72">M206*G206</f>
        <v>3960.66</v>
      </c>
      <c r="P206" s="24">
        <f t="shared" si="8"/>
        <v>6601.1</v>
      </c>
      <c r="Q206" s="25"/>
      <c r="R206" s="17"/>
      <c r="S206" s="17"/>
      <c r="T206" s="17"/>
      <c r="U206" s="17"/>
      <c r="V206" s="17"/>
      <c r="W206" s="17"/>
      <c r="X206" s="17"/>
      <c r="Y206" s="17"/>
      <c r="Z206" s="17"/>
      <c r="AA206" s="17"/>
      <c r="AB206" s="17"/>
      <c r="AC206" s="17"/>
      <c r="AD206" s="17"/>
      <c r="AE206" s="17"/>
      <c r="AF206" s="17"/>
      <c r="AG206" s="17"/>
      <c r="AH206" s="17"/>
      <c r="AI206" s="17"/>
      <c r="AJ206" s="17"/>
      <c r="AK206" s="17"/>
    </row>
    <row r="207" spans="1:37" ht="15.75" customHeight="1" x14ac:dyDescent="0.3">
      <c r="A207" s="18">
        <f t="shared" si="32"/>
        <v>131</v>
      </c>
      <c r="B207" s="19" t="s">
        <v>51</v>
      </c>
      <c r="C207" s="19"/>
      <c r="D207" s="20" t="s">
        <v>171</v>
      </c>
      <c r="E207" s="21">
        <v>40400</v>
      </c>
      <c r="F207" s="22">
        <v>0.1</v>
      </c>
      <c r="G207" s="21">
        <f t="shared" si="71"/>
        <v>44440</v>
      </c>
      <c r="H207" s="19" t="s">
        <v>53</v>
      </c>
      <c r="I207" s="23">
        <v>2.08</v>
      </c>
      <c r="J207" s="23">
        <v>2009.4608695652173</v>
      </c>
      <c r="K207" s="23">
        <f t="shared" si="38"/>
        <v>17.941614906832296</v>
      </c>
      <c r="L207" s="23">
        <f t="shared" si="6"/>
        <v>46</v>
      </c>
      <c r="M207" s="23">
        <v>3.12</v>
      </c>
      <c r="N207" s="24">
        <f t="shared" si="7"/>
        <v>92435.199999999997</v>
      </c>
      <c r="O207" s="24">
        <f t="shared" si="72"/>
        <v>138652.80000000002</v>
      </c>
      <c r="P207" s="24">
        <f t="shared" si="8"/>
        <v>231088</v>
      </c>
      <c r="Q207" s="25"/>
      <c r="R207" s="17"/>
      <c r="S207" s="17"/>
      <c r="T207" s="17"/>
      <c r="U207" s="17"/>
      <c r="V207" s="17"/>
      <c r="W207" s="17"/>
      <c r="X207" s="17"/>
      <c r="Y207" s="17"/>
      <c r="Z207" s="17"/>
      <c r="AA207" s="17"/>
      <c r="AB207" s="17"/>
      <c r="AC207" s="17"/>
      <c r="AD207" s="17"/>
      <c r="AE207" s="17"/>
      <c r="AF207" s="17"/>
      <c r="AG207" s="17"/>
      <c r="AH207" s="17"/>
      <c r="AI207" s="17"/>
      <c r="AJ207" s="17"/>
      <c r="AK207" s="17"/>
    </row>
    <row r="208" spans="1:37" ht="15.75" customHeight="1" x14ac:dyDescent="0.3">
      <c r="A208" s="18" t="str">
        <f t="shared" si="32"/>
        <v/>
      </c>
      <c r="B208" s="19"/>
      <c r="C208" s="19"/>
      <c r="D208" s="20"/>
      <c r="E208" s="21"/>
      <c r="F208" s="22"/>
      <c r="G208" s="21"/>
      <c r="H208" s="19"/>
      <c r="I208" s="23" t="s">
        <v>44</v>
      </c>
      <c r="J208" s="23" t="s">
        <v>44</v>
      </c>
      <c r="K208" s="23" t="str">
        <f t="shared" si="38"/>
        <v/>
      </c>
      <c r="L208" s="23" t="str">
        <f t="shared" si="6"/>
        <v/>
      </c>
      <c r="M208" s="23" t="s">
        <v>44</v>
      </c>
      <c r="N208" s="24" t="str">
        <f t="shared" si="7"/>
        <v/>
      </c>
      <c r="O208" s="24"/>
      <c r="P208" s="24" t="str">
        <f t="shared" si="8"/>
        <v/>
      </c>
      <c r="Q208" s="25"/>
      <c r="R208" s="17"/>
      <c r="S208" s="17"/>
      <c r="T208" s="17"/>
      <c r="U208" s="17"/>
      <c r="V208" s="17"/>
      <c r="W208" s="17"/>
      <c r="X208" s="17"/>
      <c r="Y208" s="17"/>
      <c r="Z208" s="17"/>
      <c r="AA208" s="17"/>
      <c r="AB208" s="17"/>
      <c r="AC208" s="17"/>
      <c r="AD208" s="17"/>
      <c r="AE208" s="17"/>
      <c r="AF208" s="17"/>
      <c r="AG208" s="17"/>
      <c r="AH208" s="17"/>
      <c r="AI208" s="17"/>
      <c r="AJ208" s="17"/>
      <c r="AK208" s="17"/>
    </row>
    <row r="209" spans="1:37" ht="15.75" customHeight="1" x14ac:dyDescent="0.3">
      <c r="A209" s="18" t="str">
        <f t="shared" si="32"/>
        <v/>
      </c>
      <c r="B209" s="19"/>
      <c r="C209" s="19"/>
      <c r="D209" s="160" t="s">
        <v>172</v>
      </c>
      <c r="E209" s="21"/>
      <c r="F209" s="22"/>
      <c r="G209" s="21"/>
      <c r="H209" s="19"/>
      <c r="I209" s="23" t="s">
        <v>44</v>
      </c>
      <c r="J209" s="23" t="s">
        <v>44</v>
      </c>
      <c r="K209" s="23" t="str">
        <f t="shared" si="38"/>
        <v/>
      </c>
      <c r="L209" s="23" t="str">
        <f t="shared" si="6"/>
        <v/>
      </c>
      <c r="M209" s="23" t="s">
        <v>44</v>
      </c>
      <c r="N209" s="24" t="str">
        <f t="shared" si="7"/>
        <v/>
      </c>
      <c r="O209" s="24"/>
      <c r="P209" s="24" t="str">
        <f t="shared" si="8"/>
        <v/>
      </c>
      <c r="Q209" s="25"/>
      <c r="R209" s="17"/>
      <c r="S209" s="17"/>
      <c r="T209" s="17"/>
      <c r="U209" s="17"/>
      <c r="V209" s="17"/>
      <c r="W209" s="17"/>
      <c r="X209" s="17"/>
      <c r="Y209" s="17"/>
      <c r="Z209" s="17"/>
      <c r="AA209" s="17"/>
      <c r="AB209" s="17"/>
      <c r="AC209" s="17"/>
      <c r="AD209" s="17"/>
      <c r="AE209" s="17"/>
      <c r="AF209" s="17"/>
      <c r="AG209" s="17"/>
      <c r="AH209" s="17"/>
      <c r="AI209" s="17"/>
      <c r="AJ209" s="17"/>
      <c r="AK209" s="17"/>
    </row>
    <row r="210" spans="1:37" ht="15.75" customHeight="1" x14ac:dyDescent="0.3">
      <c r="A210" s="18">
        <f t="shared" si="32"/>
        <v>132</v>
      </c>
      <c r="B210" s="19" t="s">
        <v>51</v>
      </c>
      <c r="C210" s="19" t="s">
        <v>173</v>
      </c>
      <c r="D210" s="20" t="s">
        <v>174</v>
      </c>
      <c r="E210" s="21">
        <v>9845</v>
      </c>
      <c r="F210" s="22">
        <v>0.1</v>
      </c>
      <c r="G210" s="21">
        <f t="shared" ref="G210:G213" si="73">E210+(E210*F210)</f>
        <v>10829.5</v>
      </c>
      <c r="H210" s="19" t="s">
        <v>53</v>
      </c>
      <c r="I210" s="23">
        <v>4</v>
      </c>
      <c r="J210" s="23">
        <v>941.695652173913</v>
      </c>
      <c r="K210" s="23">
        <f t="shared" si="38"/>
        <v>8.407996894409937</v>
      </c>
      <c r="L210" s="23">
        <f t="shared" si="6"/>
        <v>46</v>
      </c>
      <c r="M210" s="23">
        <v>6</v>
      </c>
      <c r="N210" s="24">
        <f t="shared" si="7"/>
        <v>43318</v>
      </c>
      <c r="O210" s="24">
        <f t="shared" ref="O210:O213" si="74">M210*G210</f>
        <v>64977</v>
      </c>
      <c r="P210" s="24">
        <f t="shared" si="8"/>
        <v>108295</v>
      </c>
      <c r="Q210" s="25"/>
      <c r="R210" s="17"/>
      <c r="S210" s="17"/>
      <c r="T210" s="17"/>
      <c r="U210" s="17"/>
      <c r="V210" s="17"/>
      <c r="W210" s="17"/>
      <c r="X210" s="17"/>
      <c r="Y210" s="17"/>
      <c r="Z210" s="17"/>
      <c r="AA210" s="17"/>
      <c r="AB210" s="17"/>
      <c r="AC210" s="17"/>
      <c r="AD210" s="17"/>
      <c r="AE210" s="17"/>
      <c r="AF210" s="17"/>
      <c r="AG210" s="17"/>
      <c r="AH210" s="17"/>
      <c r="AI210" s="17"/>
      <c r="AJ210" s="17"/>
      <c r="AK210" s="17"/>
    </row>
    <row r="211" spans="1:37" ht="15.75" customHeight="1" x14ac:dyDescent="0.3">
      <c r="A211" s="18">
        <f t="shared" si="32"/>
        <v>133</v>
      </c>
      <c r="B211" s="19" t="s">
        <v>51</v>
      </c>
      <c r="C211" s="19" t="s">
        <v>173</v>
      </c>
      <c r="D211" s="20" t="s">
        <v>175</v>
      </c>
      <c r="E211" s="21">
        <v>263.04000000000002</v>
      </c>
      <c r="F211" s="22">
        <v>0.1</v>
      </c>
      <c r="G211" s="21">
        <f t="shared" si="73"/>
        <v>289.34400000000005</v>
      </c>
      <c r="H211" s="19" t="s">
        <v>53</v>
      </c>
      <c r="I211" s="23">
        <v>3</v>
      </c>
      <c r="J211" s="23">
        <v>18.870260869565222</v>
      </c>
      <c r="K211" s="23">
        <f t="shared" si="38"/>
        <v>0.16848447204968947</v>
      </c>
      <c r="L211" s="23">
        <f t="shared" si="6"/>
        <v>46</v>
      </c>
      <c r="M211" s="23">
        <v>4.5</v>
      </c>
      <c r="N211" s="24">
        <f t="shared" si="7"/>
        <v>868.03200000000015</v>
      </c>
      <c r="O211" s="24">
        <f t="shared" si="74"/>
        <v>1302.0480000000002</v>
      </c>
      <c r="P211" s="24">
        <f t="shared" si="8"/>
        <v>2170.0800000000004</v>
      </c>
      <c r="Q211" s="25"/>
      <c r="R211" s="17"/>
      <c r="S211" s="17"/>
      <c r="T211" s="17"/>
      <c r="U211" s="17"/>
      <c r="V211" s="17"/>
      <c r="W211" s="17"/>
      <c r="X211" s="17"/>
      <c r="Y211" s="17"/>
      <c r="Z211" s="17"/>
      <c r="AA211" s="17"/>
      <c r="AB211" s="17"/>
      <c r="AC211" s="17"/>
      <c r="AD211" s="17"/>
      <c r="AE211" s="17"/>
      <c r="AF211" s="17"/>
      <c r="AG211" s="17"/>
      <c r="AH211" s="17"/>
      <c r="AI211" s="17"/>
      <c r="AJ211" s="17"/>
      <c r="AK211" s="17"/>
    </row>
    <row r="212" spans="1:37" ht="15.75" customHeight="1" x14ac:dyDescent="0.3">
      <c r="A212" s="18">
        <f t="shared" si="32"/>
        <v>134</v>
      </c>
      <c r="B212" s="19" t="s">
        <v>51</v>
      </c>
      <c r="C212" s="19" t="s">
        <v>173</v>
      </c>
      <c r="D212" s="20" t="s">
        <v>176</v>
      </c>
      <c r="E212" s="21">
        <v>2975</v>
      </c>
      <c r="F212" s="22">
        <v>0.1</v>
      </c>
      <c r="G212" s="21">
        <f t="shared" si="73"/>
        <v>3272.5</v>
      </c>
      <c r="H212" s="19" t="s">
        <v>43</v>
      </c>
      <c r="I212" s="23">
        <v>1</v>
      </c>
      <c r="J212" s="23">
        <v>71.141304347826093</v>
      </c>
      <c r="K212" s="23">
        <f t="shared" si="38"/>
        <v>0.63519021739130443</v>
      </c>
      <c r="L212" s="23">
        <f t="shared" si="6"/>
        <v>46</v>
      </c>
      <c r="M212" s="23">
        <v>1.5</v>
      </c>
      <c r="N212" s="24">
        <f t="shared" si="7"/>
        <v>3272.5000000000005</v>
      </c>
      <c r="O212" s="24">
        <f t="shared" si="74"/>
        <v>4908.75</v>
      </c>
      <c r="P212" s="24">
        <f t="shared" si="8"/>
        <v>8181.25</v>
      </c>
      <c r="Q212" s="25"/>
      <c r="R212" s="17"/>
      <c r="S212" s="17"/>
      <c r="T212" s="17"/>
      <c r="U212" s="17"/>
      <c r="V212" s="17"/>
      <c r="W212" s="17"/>
      <c r="X212" s="17"/>
      <c r="Y212" s="17"/>
      <c r="Z212" s="17"/>
      <c r="AA212" s="17"/>
      <c r="AB212" s="17"/>
      <c r="AC212" s="17"/>
      <c r="AD212" s="17"/>
      <c r="AE212" s="17"/>
      <c r="AF212" s="17"/>
      <c r="AG212" s="17"/>
      <c r="AH212" s="17"/>
      <c r="AI212" s="17"/>
      <c r="AJ212" s="17"/>
      <c r="AK212" s="17"/>
    </row>
    <row r="213" spans="1:37" ht="15.75" customHeight="1" x14ac:dyDescent="0.3">
      <c r="A213" s="18">
        <f t="shared" si="32"/>
        <v>135</v>
      </c>
      <c r="B213" s="19" t="s">
        <v>51</v>
      </c>
      <c r="C213" s="19" t="s">
        <v>173</v>
      </c>
      <c r="D213" s="20" t="s">
        <v>177</v>
      </c>
      <c r="E213" s="21">
        <v>9546.27</v>
      </c>
      <c r="F213" s="22">
        <v>0.1</v>
      </c>
      <c r="G213" s="21">
        <f t="shared" si="73"/>
        <v>10500.897000000001</v>
      </c>
      <c r="H213" s="19" t="s">
        <v>43</v>
      </c>
      <c r="I213" s="23">
        <v>0.91999999999999993</v>
      </c>
      <c r="J213" s="23">
        <v>210.01794000000001</v>
      </c>
      <c r="K213" s="23">
        <f t="shared" si="38"/>
        <v>1.8751601785714287</v>
      </c>
      <c r="L213" s="23">
        <f t="shared" si="6"/>
        <v>46</v>
      </c>
      <c r="M213" s="23">
        <v>1.38</v>
      </c>
      <c r="N213" s="24">
        <f t="shared" si="7"/>
        <v>9660.8252400000001</v>
      </c>
      <c r="O213" s="24">
        <f t="shared" si="74"/>
        <v>14491.237859999999</v>
      </c>
      <c r="P213" s="24">
        <f t="shared" si="8"/>
        <v>24152.063099999999</v>
      </c>
      <c r="Q213" s="25"/>
      <c r="R213" s="17"/>
      <c r="S213" s="17"/>
      <c r="T213" s="17"/>
      <c r="U213" s="17"/>
      <c r="V213" s="17"/>
      <c r="W213" s="17"/>
      <c r="X213" s="17"/>
      <c r="Y213" s="17"/>
      <c r="Z213" s="17"/>
      <c r="AA213" s="17"/>
      <c r="AB213" s="17"/>
      <c r="AC213" s="17"/>
      <c r="AD213" s="17"/>
      <c r="AE213" s="17"/>
      <c r="AF213" s="17"/>
      <c r="AG213" s="17"/>
      <c r="AH213" s="17"/>
      <c r="AI213" s="17"/>
      <c r="AJ213" s="17"/>
      <c r="AK213" s="17"/>
    </row>
    <row r="214" spans="1:37" ht="15.75" customHeight="1" x14ac:dyDescent="0.3">
      <c r="A214" s="18" t="str">
        <f t="shared" si="32"/>
        <v/>
      </c>
      <c r="B214" s="19"/>
      <c r="C214" s="19"/>
      <c r="D214" s="20"/>
      <c r="E214" s="21"/>
      <c r="F214" s="22"/>
      <c r="G214" s="21"/>
      <c r="H214" s="19"/>
      <c r="I214" s="23" t="s">
        <v>44</v>
      </c>
      <c r="J214" s="23" t="s">
        <v>44</v>
      </c>
      <c r="K214" s="23" t="str">
        <f t="shared" si="38"/>
        <v/>
      </c>
      <c r="L214" s="23" t="str">
        <f t="shared" si="6"/>
        <v/>
      </c>
      <c r="M214" s="23" t="s">
        <v>44</v>
      </c>
      <c r="N214" s="24" t="str">
        <f t="shared" si="7"/>
        <v/>
      </c>
      <c r="O214" s="24"/>
      <c r="P214" s="24" t="str">
        <f t="shared" si="8"/>
        <v/>
      </c>
      <c r="Q214" s="25"/>
      <c r="R214" s="17"/>
      <c r="S214" s="17"/>
      <c r="T214" s="17"/>
      <c r="U214" s="17"/>
      <c r="V214" s="17"/>
      <c r="W214" s="17"/>
      <c r="X214" s="17"/>
      <c r="Y214" s="17"/>
      <c r="Z214" s="17"/>
      <c r="AA214" s="17"/>
      <c r="AB214" s="17"/>
      <c r="AC214" s="17"/>
      <c r="AD214" s="17"/>
      <c r="AE214" s="17"/>
      <c r="AF214" s="17"/>
      <c r="AG214" s="17"/>
      <c r="AH214" s="17"/>
      <c r="AI214" s="17"/>
      <c r="AJ214" s="17"/>
      <c r="AK214" s="17"/>
    </row>
    <row r="215" spans="1:37" ht="15.75" customHeight="1" x14ac:dyDescent="0.3">
      <c r="A215" s="18" t="str">
        <f t="shared" si="32"/>
        <v/>
      </c>
      <c r="B215" s="19"/>
      <c r="C215" s="19"/>
      <c r="D215" s="160" t="s">
        <v>178</v>
      </c>
      <c r="E215" s="21"/>
      <c r="F215" s="22"/>
      <c r="G215" s="21"/>
      <c r="H215" s="19"/>
      <c r="I215" s="23" t="s">
        <v>44</v>
      </c>
      <c r="J215" s="23" t="s">
        <v>44</v>
      </c>
      <c r="K215" s="23" t="str">
        <f t="shared" si="38"/>
        <v/>
      </c>
      <c r="L215" s="23" t="str">
        <f t="shared" si="6"/>
        <v/>
      </c>
      <c r="M215" s="23" t="s">
        <v>44</v>
      </c>
      <c r="N215" s="24" t="str">
        <f t="shared" si="7"/>
        <v/>
      </c>
      <c r="O215" s="24"/>
      <c r="P215" s="24" t="str">
        <f t="shared" si="8"/>
        <v/>
      </c>
      <c r="Q215" s="25"/>
      <c r="R215" s="17"/>
      <c r="S215" s="17"/>
      <c r="T215" s="17"/>
      <c r="U215" s="17"/>
      <c r="V215" s="17"/>
      <c r="W215" s="17"/>
      <c r="X215" s="17"/>
      <c r="Y215" s="17"/>
      <c r="Z215" s="17"/>
      <c r="AA215" s="17"/>
      <c r="AB215" s="17"/>
      <c r="AC215" s="17"/>
      <c r="AD215" s="17"/>
      <c r="AE215" s="17"/>
      <c r="AF215" s="17"/>
      <c r="AG215" s="17"/>
      <c r="AH215" s="17"/>
      <c r="AI215" s="17"/>
      <c r="AJ215" s="17"/>
      <c r="AK215" s="17"/>
    </row>
    <row r="216" spans="1:37" ht="15.75" customHeight="1" x14ac:dyDescent="0.3">
      <c r="A216" s="18">
        <f t="shared" si="32"/>
        <v>136</v>
      </c>
      <c r="B216" s="19" t="s">
        <v>179</v>
      </c>
      <c r="C216" s="19"/>
      <c r="D216" s="20" t="s">
        <v>180</v>
      </c>
      <c r="E216" s="21">
        <v>9615.11</v>
      </c>
      <c r="F216" s="22">
        <v>0.1</v>
      </c>
      <c r="G216" s="21">
        <f t="shared" ref="G216:G220" si="75">E216+(E216*F216)</f>
        <v>10576.621000000001</v>
      </c>
      <c r="H216" s="19" t="s">
        <v>53</v>
      </c>
      <c r="I216" s="23">
        <v>1.8</v>
      </c>
      <c r="J216" s="23">
        <v>413.86777826086961</v>
      </c>
      <c r="K216" s="23">
        <f t="shared" si="38"/>
        <v>3.695248020186336</v>
      </c>
      <c r="L216" s="23">
        <f t="shared" si="6"/>
        <v>46</v>
      </c>
      <c r="M216" s="23">
        <v>2.7</v>
      </c>
      <c r="N216" s="24">
        <f t="shared" si="7"/>
        <v>19037.917800000003</v>
      </c>
      <c r="O216" s="24">
        <f t="shared" ref="O216:O220" si="76">M216*G216</f>
        <v>28556.876700000004</v>
      </c>
      <c r="P216" s="24">
        <f t="shared" si="8"/>
        <v>47594.794500000004</v>
      </c>
      <c r="Q216" s="25"/>
      <c r="R216" s="17"/>
      <c r="S216" s="17"/>
      <c r="T216" s="17"/>
      <c r="U216" s="17"/>
      <c r="V216" s="17"/>
      <c r="W216" s="17"/>
      <c r="X216" s="17"/>
      <c r="Y216" s="17"/>
      <c r="Z216" s="17"/>
      <c r="AA216" s="17"/>
      <c r="AB216" s="17"/>
      <c r="AC216" s="17"/>
      <c r="AD216" s="17"/>
      <c r="AE216" s="17"/>
      <c r="AF216" s="17"/>
      <c r="AG216" s="17"/>
      <c r="AH216" s="17"/>
      <c r="AI216" s="17"/>
      <c r="AJ216" s="17"/>
      <c r="AK216" s="17"/>
    </row>
    <row r="217" spans="1:37" ht="15.75" customHeight="1" x14ac:dyDescent="0.3">
      <c r="A217" s="18">
        <f t="shared" si="32"/>
        <v>137</v>
      </c>
      <c r="B217" s="19" t="s">
        <v>179</v>
      </c>
      <c r="C217" s="19"/>
      <c r="D217" s="20" t="s">
        <v>181</v>
      </c>
      <c r="E217" s="21">
        <v>7550.75</v>
      </c>
      <c r="F217" s="22">
        <v>0.1</v>
      </c>
      <c r="G217" s="21">
        <f t="shared" si="75"/>
        <v>8305.8250000000007</v>
      </c>
      <c r="H217" s="19" t="s">
        <v>53</v>
      </c>
      <c r="I217" s="23">
        <v>3</v>
      </c>
      <c r="J217" s="23">
        <v>541.68423913043478</v>
      </c>
      <c r="K217" s="23">
        <f t="shared" si="38"/>
        <v>4.8364664208074535</v>
      </c>
      <c r="L217" s="23">
        <f t="shared" si="6"/>
        <v>46</v>
      </c>
      <c r="M217" s="23">
        <v>4.5</v>
      </c>
      <c r="N217" s="24">
        <f t="shared" si="7"/>
        <v>24917.474999999999</v>
      </c>
      <c r="O217" s="24">
        <f t="shared" si="76"/>
        <v>37376.212500000001</v>
      </c>
      <c r="P217" s="24">
        <f t="shared" si="8"/>
        <v>62293.6875</v>
      </c>
      <c r="Q217" s="25"/>
      <c r="R217" s="17"/>
      <c r="S217" s="17"/>
      <c r="T217" s="17"/>
      <c r="U217" s="17"/>
      <c r="V217" s="17"/>
      <c r="W217" s="17"/>
      <c r="X217" s="17"/>
      <c r="Y217" s="17"/>
      <c r="Z217" s="17"/>
      <c r="AA217" s="17"/>
      <c r="AB217" s="17"/>
      <c r="AC217" s="17"/>
      <c r="AD217" s="17"/>
      <c r="AE217" s="17"/>
      <c r="AF217" s="17"/>
      <c r="AG217" s="17"/>
      <c r="AH217" s="17"/>
      <c r="AI217" s="17"/>
      <c r="AJ217" s="17"/>
      <c r="AK217" s="17"/>
    </row>
    <row r="218" spans="1:37" ht="15.75" customHeight="1" x14ac:dyDescent="0.3">
      <c r="A218" s="18">
        <f t="shared" si="32"/>
        <v>138</v>
      </c>
      <c r="B218" s="19" t="s">
        <v>179</v>
      </c>
      <c r="C218" s="19"/>
      <c r="D218" s="20" t="s">
        <v>182</v>
      </c>
      <c r="E218" s="21">
        <v>4069.28</v>
      </c>
      <c r="F218" s="22">
        <v>0.1</v>
      </c>
      <c r="G218" s="21">
        <f t="shared" si="75"/>
        <v>4476.2080000000005</v>
      </c>
      <c r="H218" s="19" t="s">
        <v>53</v>
      </c>
      <c r="I218" s="23">
        <v>8.8000000000000007</v>
      </c>
      <c r="J218" s="23">
        <v>856.3180521739132</v>
      </c>
      <c r="K218" s="23">
        <f t="shared" si="38"/>
        <v>7.645696894409939</v>
      </c>
      <c r="L218" s="23">
        <f t="shared" si="6"/>
        <v>46</v>
      </c>
      <c r="M218" s="23">
        <v>13.2</v>
      </c>
      <c r="N218" s="24">
        <f t="shared" si="7"/>
        <v>39390.630400000009</v>
      </c>
      <c r="O218" s="24">
        <f t="shared" si="76"/>
        <v>59085.945600000006</v>
      </c>
      <c r="P218" s="24">
        <f t="shared" si="8"/>
        <v>98476.576000000015</v>
      </c>
      <c r="Q218" s="25"/>
      <c r="R218" s="17"/>
      <c r="S218" s="17"/>
      <c r="T218" s="17"/>
      <c r="U218" s="17"/>
      <c r="V218" s="17"/>
      <c r="W218" s="17"/>
      <c r="X218" s="17"/>
      <c r="Y218" s="17"/>
      <c r="Z218" s="17"/>
      <c r="AA218" s="17"/>
      <c r="AB218" s="17"/>
      <c r="AC218" s="17"/>
      <c r="AD218" s="17"/>
      <c r="AE218" s="17"/>
      <c r="AF218" s="17"/>
      <c r="AG218" s="17"/>
      <c r="AH218" s="17"/>
      <c r="AI218" s="17"/>
      <c r="AJ218" s="17"/>
      <c r="AK218" s="17"/>
    </row>
    <row r="219" spans="1:37" ht="15.75" customHeight="1" x14ac:dyDescent="0.3">
      <c r="A219" s="18">
        <f t="shared" si="32"/>
        <v>139</v>
      </c>
      <c r="B219" s="19" t="s">
        <v>179</v>
      </c>
      <c r="C219" s="19"/>
      <c r="D219" s="20" t="s">
        <v>183</v>
      </c>
      <c r="E219" s="21">
        <v>701.17</v>
      </c>
      <c r="F219" s="22">
        <v>0.1</v>
      </c>
      <c r="G219" s="21">
        <f t="shared" si="75"/>
        <v>771.28699999999992</v>
      </c>
      <c r="H219" s="19" t="s">
        <v>53</v>
      </c>
      <c r="I219" s="23">
        <v>10.4</v>
      </c>
      <c r="J219" s="23">
        <v>174.3779304347826</v>
      </c>
      <c r="K219" s="23">
        <f t="shared" si="38"/>
        <v>1.5569458074534162</v>
      </c>
      <c r="L219" s="23">
        <f t="shared" si="6"/>
        <v>46</v>
      </c>
      <c r="M219" s="23">
        <v>15.6</v>
      </c>
      <c r="N219" s="24">
        <f t="shared" si="7"/>
        <v>8021.3847999999998</v>
      </c>
      <c r="O219" s="24">
        <f t="shared" si="76"/>
        <v>12032.077199999998</v>
      </c>
      <c r="P219" s="24">
        <f t="shared" si="8"/>
        <v>20053.462</v>
      </c>
      <c r="Q219" s="25"/>
      <c r="R219" s="17"/>
      <c r="S219" s="17"/>
      <c r="T219" s="17"/>
      <c r="U219" s="17"/>
      <c r="V219" s="17"/>
      <c r="W219" s="17"/>
      <c r="X219" s="17"/>
      <c r="Y219" s="17"/>
      <c r="Z219" s="17"/>
      <c r="AA219" s="17"/>
      <c r="AB219" s="17"/>
      <c r="AC219" s="17"/>
      <c r="AD219" s="17"/>
      <c r="AE219" s="17"/>
      <c r="AF219" s="17"/>
      <c r="AG219" s="17"/>
      <c r="AH219" s="17"/>
      <c r="AI219" s="17"/>
      <c r="AJ219" s="17"/>
      <c r="AK219" s="17"/>
    </row>
    <row r="220" spans="1:37" ht="15.75" customHeight="1" x14ac:dyDescent="0.3">
      <c r="A220" s="18">
        <f t="shared" si="32"/>
        <v>140</v>
      </c>
      <c r="B220" s="19" t="s">
        <v>179</v>
      </c>
      <c r="C220" s="19"/>
      <c r="D220" s="20" t="s">
        <v>184</v>
      </c>
      <c r="E220" s="21">
        <v>1000.86</v>
      </c>
      <c r="F220" s="22">
        <v>0.1</v>
      </c>
      <c r="G220" s="21">
        <f t="shared" si="75"/>
        <v>1100.9459999999999</v>
      </c>
      <c r="H220" s="19" t="s">
        <v>43</v>
      </c>
      <c r="I220" s="23">
        <v>1.4000000000000001</v>
      </c>
      <c r="J220" s="23">
        <v>33.507052173913046</v>
      </c>
      <c r="K220" s="23">
        <f t="shared" si="38"/>
        <v>0.29917010869565219</v>
      </c>
      <c r="L220" s="23">
        <f t="shared" si="6"/>
        <v>46</v>
      </c>
      <c r="M220" s="23">
        <v>2.0999999999999996</v>
      </c>
      <c r="N220" s="24">
        <f t="shared" si="7"/>
        <v>1541.3244000000002</v>
      </c>
      <c r="O220" s="24">
        <f t="shared" si="76"/>
        <v>2311.9865999999993</v>
      </c>
      <c r="P220" s="24">
        <f t="shared" si="8"/>
        <v>3853.3109999999997</v>
      </c>
      <c r="Q220" s="25"/>
      <c r="R220" s="17"/>
      <c r="S220" s="17"/>
      <c r="T220" s="17"/>
      <c r="U220" s="17"/>
      <c r="V220" s="17"/>
      <c r="W220" s="17"/>
      <c r="X220" s="17"/>
      <c r="Y220" s="17"/>
      <c r="Z220" s="17"/>
      <c r="AA220" s="17"/>
      <c r="AB220" s="17"/>
      <c r="AC220" s="17"/>
      <c r="AD220" s="17"/>
      <c r="AE220" s="17"/>
      <c r="AF220" s="17"/>
      <c r="AG220" s="17"/>
      <c r="AH220" s="17"/>
      <c r="AI220" s="17"/>
      <c r="AJ220" s="17"/>
      <c r="AK220" s="17"/>
    </row>
    <row r="221" spans="1:37" ht="15.75" customHeight="1" x14ac:dyDescent="0.3">
      <c r="A221" s="18" t="str">
        <f t="shared" si="32"/>
        <v/>
      </c>
      <c r="B221" s="19"/>
      <c r="C221" s="19"/>
      <c r="D221" s="20"/>
      <c r="E221" s="21"/>
      <c r="F221" s="22"/>
      <c r="G221" s="21"/>
      <c r="H221" s="19"/>
      <c r="I221" s="23" t="s">
        <v>44</v>
      </c>
      <c r="J221" s="23" t="s">
        <v>44</v>
      </c>
      <c r="K221" s="23" t="str">
        <f t="shared" si="38"/>
        <v/>
      </c>
      <c r="L221" s="23" t="str">
        <f t="shared" si="6"/>
        <v/>
      </c>
      <c r="M221" s="23" t="s">
        <v>44</v>
      </c>
      <c r="N221" s="24" t="str">
        <f t="shared" si="7"/>
        <v/>
      </c>
      <c r="O221" s="24"/>
      <c r="P221" s="24" t="str">
        <f t="shared" si="8"/>
        <v/>
      </c>
      <c r="Q221" s="25"/>
      <c r="R221" s="17"/>
      <c r="S221" s="17"/>
      <c r="T221" s="17"/>
      <c r="U221" s="17"/>
      <c r="V221" s="17"/>
      <c r="W221" s="17"/>
      <c r="X221" s="17"/>
      <c r="Y221" s="17"/>
      <c r="Z221" s="17"/>
      <c r="AA221" s="17"/>
      <c r="AB221" s="17"/>
      <c r="AC221" s="17"/>
      <c r="AD221" s="17"/>
      <c r="AE221" s="17"/>
      <c r="AF221" s="17"/>
      <c r="AG221" s="17"/>
      <c r="AH221" s="17"/>
      <c r="AI221" s="17"/>
      <c r="AJ221" s="17"/>
      <c r="AK221" s="17"/>
    </row>
    <row r="222" spans="1:37" ht="15.75" customHeight="1" x14ac:dyDescent="0.3">
      <c r="A222" s="18" t="str">
        <f t="shared" si="32"/>
        <v/>
      </c>
      <c r="B222" s="19"/>
      <c r="C222" s="19"/>
      <c r="D222" s="160" t="s">
        <v>185</v>
      </c>
      <c r="E222" s="21"/>
      <c r="F222" s="22"/>
      <c r="G222" s="21"/>
      <c r="H222" s="19"/>
      <c r="I222" s="23" t="s">
        <v>44</v>
      </c>
      <c r="J222" s="23" t="s">
        <v>44</v>
      </c>
      <c r="K222" s="23" t="str">
        <f t="shared" si="38"/>
        <v/>
      </c>
      <c r="L222" s="23" t="str">
        <f t="shared" si="6"/>
        <v/>
      </c>
      <c r="M222" s="23" t="s">
        <v>44</v>
      </c>
      <c r="N222" s="24" t="str">
        <f t="shared" si="7"/>
        <v/>
      </c>
      <c r="O222" s="24"/>
      <c r="P222" s="24" t="str">
        <f t="shared" si="8"/>
        <v/>
      </c>
      <c r="Q222" s="25"/>
      <c r="R222" s="17"/>
      <c r="S222" s="17"/>
      <c r="T222" s="17"/>
      <c r="U222" s="17"/>
      <c r="V222" s="17"/>
      <c r="W222" s="17"/>
      <c r="X222" s="17"/>
      <c r="Y222" s="17"/>
      <c r="Z222" s="17"/>
      <c r="AA222" s="17"/>
      <c r="AB222" s="17"/>
      <c r="AC222" s="17"/>
      <c r="AD222" s="17"/>
      <c r="AE222" s="17"/>
      <c r="AF222" s="17"/>
      <c r="AG222" s="17"/>
      <c r="AH222" s="17"/>
      <c r="AI222" s="17"/>
      <c r="AJ222" s="17"/>
      <c r="AK222" s="17"/>
    </row>
    <row r="223" spans="1:37" ht="15.75" customHeight="1" x14ac:dyDescent="0.3">
      <c r="A223" s="18">
        <f t="shared" si="32"/>
        <v>141</v>
      </c>
      <c r="B223" s="19"/>
      <c r="C223" s="19"/>
      <c r="D223" s="20" t="s">
        <v>186</v>
      </c>
      <c r="E223" s="21">
        <v>152797.23000000001</v>
      </c>
      <c r="F223" s="22">
        <v>0.1</v>
      </c>
      <c r="G223" s="21">
        <f t="shared" ref="G223:G226" si="77">E223+(E223*F223)</f>
        <v>168076.95300000001</v>
      </c>
      <c r="H223" s="19" t="s">
        <v>53</v>
      </c>
      <c r="I223" s="23">
        <v>0.55999999999999994</v>
      </c>
      <c r="J223" s="23">
        <v>2046.1542104347825</v>
      </c>
      <c r="K223" s="23">
        <f t="shared" si="38"/>
        <v>18.26923402173913</v>
      </c>
      <c r="L223" s="23">
        <f t="shared" si="6"/>
        <v>46</v>
      </c>
      <c r="M223" s="23">
        <v>0.84</v>
      </c>
      <c r="N223" s="24">
        <f t="shared" si="7"/>
        <v>94123.093679999991</v>
      </c>
      <c r="O223" s="24">
        <f t="shared" ref="O223:O226" si="78">M223*G223</f>
        <v>141184.64052000002</v>
      </c>
      <c r="P223" s="24">
        <f t="shared" si="8"/>
        <v>235307.73420000001</v>
      </c>
      <c r="Q223" s="25"/>
      <c r="R223" s="17"/>
      <c r="S223" s="17"/>
      <c r="T223" s="17"/>
      <c r="U223" s="17"/>
      <c r="V223" s="17"/>
      <c r="W223" s="17"/>
      <c r="X223" s="17"/>
      <c r="Y223" s="17"/>
      <c r="Z223" s="17"/>
      <c r="AA223" s="17"/>
      <c r="AB223" s="17"/>
      <c r="AC223" s="17"/>
      <c r="AD223" s="17"/>
      <c r="AE223" s="17"/>
      <c r="AF223" s="17"/>
      <c r="AG223" s="17"/>
      <c r="AH223" s="17"/>
      <c r="AI223" s="17"/>
      <c r="AJ223" s="17"/>
      <c r="AK223" s="17"/>
    </row>
    <row r="224" spans="1:37" ht="15.75" customHeight="1" x14ac:dyDescent="0.3">
      <c r="A224" s="18">
        <f t="shared" si="32"/>
        <v>142</v>
      </c>
      <c r="B224" s="19"/>
      <c r="C224" s="19"/>
      <c r="D224" s="20" t="s">
        <v>187</v>
      </c>
      <c r="E224" s="21">
        <v>17397</v>
      </c>
      <c r="F224" s="22">
        <v>0.1</v>
      </c>
      <c r="G224" s="21">
        <f t="shared" si="77"/>
        <v>19136.7</v>
      </c>
      <c r="H224" s="19" t="s">
        <v>53</v>
      </c>
      <c r="I224" s="23">
        <v>0.64000000000000012</v>
      </c>
      <c r="J224" s="23">
        <v>266.24973913043488</v>
      </c>
      <c r="K224" s="23">
        <f t="shared" si="38"/>
        <v>2.3772298136645973</v>
      </c>
      <c r="L224" s="23">
        <f t="shared" si="6"/>
        <v>46</v>
      </c>
      <c r="M224" s="23">
        <v>0.96</v>
      </c>
      <c r="N224" s="24">
        <f t="shared" si="7"/>
        <v>12247.488000000005</v>
      </c>
      <c r="O224" s="24">
        <f t="shared" si="78"/>
        <v>18371.232</v>
      </c>
      <c r="P224" s="24">
        <f t="shared" si="8"/>
        <v>30618.720000000005</v>
      </c>
      <c r="Q224" s="25"/>
      <c r="R224" s="17"/>
      <c r="S224" s="17"/>
      <c r="T224" s="17"/>
      <c r="U224" s="17"/>
      <c r="V224" s="17"/>
      <c r="W224" s="17"/>
      <c r="X224" s="17"/>
      <c r="Y224" s="17"/>
      <c r="Z224" s="17"/>
      <c r="AA224" s="17"/>
      <c r="AB224" s="17"/>
      <c r="AC224" s="17"/>
      <c r="AD224" s="17"/>
      <c r="AE224" s="17"/>
      <c r="AF224" s="17"/>
      <c r="AG224" s="17"/>
      <c r="AH224" s="17"/>
      <c r="AI224" s="17"/>
      <c r="AJ224" s="17"/>
      <c r="AK224" s="17"/>
    </row>
    <row r="225" spans="1:37" ht="15.75" customHeight="1" x14ac:dyDescent="0.3">
      <c r="A225" s="18">
        <f t="shared" si="32"/>
        <v>143</v>
      </c>
      <c r="B225" s="19"/>
      <c r="C225" s="19"/>
      <c r="D225" s="20" t="s">
        <v>188</v>
      </c>
      <c r="E225" s="21">
        <v>40400</v>
      </c>
      <c r="F225" s="22">
        <v>0.1</v>
      </c>
      <c r="G225" s="21">
        <f t="shared" si="77"/>
        <v>44440</v>
      </c>
      <c r="H225" s="19" t="s">
        <v>53</v>
      </c>
      <c r="I225" s="23">
        <v>0.60000000000000009</v>
      </c>
      <c r="J225" s="23">
        <v>579.65217391304361</v>
      </c>
      <c r="K225" s="23">
        <f t="shared" si="38"/>
        <v>5.175465838509318</v>
      </c>
      <c r="L225" s="23">
        <f t="shared" si="6"/>
        <v>46</v>
      </c>
      <c r="M225" s="23">
        <v>0.89999999999999991</v>
      </c>
      <c r="N225" s="24">
        <f t="shared" si="7"/>
        <v>26664.000000000007</v>
      </c>
      <c r="O225" s="24">
        <f t="shared" si="78"/>
        <v>39995.999999999993</v>
      </c>
      <c r="P225" s="24">
        <f t="shared" si="8"/>
        <v>66660</v>
      </c>
      <c r="Q225" s="25"/>
      <c r="R225" s="17"/>
      <c r="S225" s="17"/>
      <c r="T225" s="17"/>
      <c r="U225" s="17"/>
      <c r="V225" s="17"/>
      <c r="W225" s="17"/>
      <c r="X225" s="17"/>
      <c r="Y225" s="17"/>
      <c r="Z225" s="17"/>
      <c r="AA225" s="17"/>
      <c r="AB225" s="17"/>
      <c r="AC225" s="17"/>
      <c r="AD225" s="17"/>
      <c r="AE225" s="17"/>
      <c r="AF225" s="17"/>
      <c r="AG225" s="17"/>
      <c r="AH225" s="17"/>
      <c r="AI225" s="17"/>
      <c r="AJ225" s="17"/>
      <c r="AK225" s="17"/>
    </row>
    <row r="226" spans="1:37" ht="15.75" customHeight="1" x14ac:dyDescent="0.3">
      <c r="A226" s="18">
        <f t="shared" si="32"/>
        <v>144</v>
      </c>
      <c r="B226" s="19"/>
      <c r="C226" s="19"/>
      <c r="D226" s="20" t="s">
        <v>189</v>
      </c>
      <c r="E226" s="21">
        <v>515</v>
      </c>
      <c r="F226" s="22">
        <v>0</v>
      </c>
      <c r="G226" s="21">
        <f t="shared" si="77"/>
        <v>515</v>
      </c>
      <c r="H226" s="19" t="s">
        <v>41</v>
      </c>
      <c r="I226" s="23">
        <v>34</v>
      </c>
      <c r="J226" s="23">
        <v>380.6521739130435</v>
      </c>
      <c r="K226" s="23">
        <f t="shared" si="38"/>
        <v>3.3986801242236027</v>
      </c>
      <c r="L226" s="23">
        <f t="shared" si="6"/>
        <v>46</v>
      </c>
      <c r="M226" s="23">
        <v>51</v>
      </c>
      <c r="N226" s="24">
        <f t="shared" si="7"/>
        <v>17510</v>
      </c>
      <c r="O226" s="24">
        <f t="shared" si="78"/>
        <v>26265</v>
      </c>
      <c r="P226" s="24">
        <f t="shared" si="8"/>
        <v>43775</v>
      </c>
      <c r="Q226" s="25"/>
      <c r="R226" s="17"/>
      <c r="S226" s="17"/>
      <c r="T226" s="17"/>
      <c r="U226" s="17"/>
      <c r="V226" s="17"/>
      <c r="W226" s="17"/>
      <c r="X226" s="17"/>
      <c r="Y226" s="17"/>
      <c r="Z226" s="17"/>
      <c r="AA226" s="17"/>
      <c r="AB226" s="17"/>
      <c r="AC226" s="17"/>
      <c r="AD226" s="17"/>
      <c r="AE226" s="17"/>
      <c r="AF226" s="17"/>
      <c r="AG226" s="17"/>
      <c r="AH226" s="17"/>
      <c r="AI226" s="17"/>
      <c r="AJ226" s="17"/>
      <c r="AK226" s="17"/>
    </row>
    <row r="227" spans="1:37" ht="15.75" customHeight="1" x14ac:dyDescent="0.3">
      <c r="A227" s="34" t="str">
        <f t="shared" si="32"/>
        <v/>
      </c>
      <c r="B227" s="19"/>
      <c r="C227" s="19"/>
      <c r="D227" s="20"/>
      <c r="E227" s="21"/>
      <c r="F227" s="22"/>
      <c r="G227" s="21"/>
      <c r="H227" s="19"/>
      <c r="I227" s="23" t="s">
        <v>44</v>
      </c>
      <c r="J227" s="23" t="s">
        <v>44</v>
      </c>
      <c r="K227" s="23" t="str">
        <f t="shared" ref="K227:K228" si="79">IF(H227&lt;&gt;"",(J227/8/$K$26),"")</f>
        <v/>
      </c>
      <c r="L227" s="23" t="str">
        <f t="shared" si="6"/>
        <v/>
      </c>
      <c r="M227" s="23" t="s">
        <v>44</v>
      </c>
      <c r="N227" s="24" t="str">
        <f t="shared" si="7"/>
        <v/>
      </c>
      <c r="O227" s="24"/>
      <c r="P227" s="24" t="str">
        <f t="shared" si="8"/>
        <v/>
      </c>
      <c r="Q227" s="25"/>
      <c r="R227" s="17"/>
      <c r="S227" s="17"/>
      <c r="T227" s="17"/>
      <c r="U227" s="17"/>
      <c r="V227" s="17"/>
      <c r="W227" s="17"/>
      <c r="X227" s="17"/>
      <c r="Y227" s="17"/>
      <c r="Z227" s="17"/>
      <c r="AA227" s="17"/>
      <c r="AB227" s="17"/>
      <c r="AC227" s="17"/>
      <c r="AD227" s="17"/>
      <c r="AE227" s="17"/>
      <c r="AF227" s="17"/>
      <c r="AG227" s="17"/>
      <c r="AH227" s="17"/>
      <c r="AI227" s="17"/>
      <c r="AJ227" s="17"/>
      <c r="AK227" s="17"/>
    </row>
    <row r="228" spans="1:37" ht="15.75" customHeight="1" x14ac:dyDescent="0.3">
      <c r="A228" s="34" t="str">
        <f t="shared" si="32"/>
        <v/>
      </c>
      <c r="B228" s="19"/>
      <c r="C228" s="19"/>
      <c r="D228" s="26" t="s">
        <v>35</v>
      </c>
      <c r="E228" s="27"/>
      <c r="F228" s="28"/>
      <c r="G228" s="27"/>
      <c r="H228" s="29"/>
      <c r="I228" s="30" t="s">
        <v>44</v>
      </c>
      <c r="J228" s="30" t="s">
        <v>44</v>
      </c>
      <c r="K228" s="30" t="str">
        <f t="shared" si="79"/>
        <v/>
      </c>
      <c r="L228" s="30" t="str">
        <f t="shared" si="6"/>
        <v/>
      </c>
      <c r="M228" s="30" t="s">
        <v>44</v>
      </c>
      <c r="N228" s="31" t="str">
        <f t="shared" si="7"/>
        <v/>
      </c>
      <c r="O228" s="31"/>
      <c r="P228" s="32" t="str">
        <f t="shared" si="8"/>
        <v/>
      </c>
      <c r="Q228" s="33">
        <f>SUM(P116:P227)</f>
        <v>2639451.744203737</v>
      </c>
      <c r="R228" s="17"/>
      <c r="S228" s="17"/>
      <c r="T228" s="17"/>
      <c r="U228" s="17"/>
      <c r="V228" s="17"/>
      <c r="W228" s="17"/>
      <c r="X228" s="17"/>
      <c r="Y228" s="17"/>
      <c r="Z228" s="17"/>
      <c r="AA228" s="17"/>
      <c r="AB228" s="17"/>
      <c r="AC228" s="17"/>
      <c r="AD228" s="17"/>
      <c r="AE228" s="17"/>
      <c r="AF228" s="17"/>
      <c r="AG228" s="17"/>
      <c r="AH228" s="17"/>
      <c r="AI228" s="17"/>
      <c r="AJ228" s="17"/>
      <c r="AK228" s="17"/>
    </row>
    <row r="229" spans="1:37" s="158" customFormat="1" ht="15.75" customHeight="1" x14ac:dyDescent="0.3">
      <c r="A229" s="154" t="str">
        <f t="shared" si="32"/>
        <v/>
      </c>
      <c r="B229" s="155"/>
      <c r="C229" s="155" t="s">
        <v>190</v>
      </c>
      <c r="D229" s="155" t="s">
        <v>191</v>
      </c>
      <c r="E229" s="155"/>
      <c r="F229" s="155"/>
      <c r="G229" s="155"/>
      <c r="H229" s="155"/>
      <c r="I229" s="155" t="s">
        <v>44</v>
      </c>
      <c r="J229" s="155" t="s">
        <v>44</v>
      </c>
      <c r="K229" s="159">
        <v>5</v>
      </c>
      <c r="L229" s="155" t="str">
        <f t="shared" si="6"/>
        <v/>
      </c>
      <c r="M229" s="155" t="s">
        <v>44</v>
      </c>
      <c r="N229" s="155" t="str">
        <f t="shared" si="7"/>
        <v/>
      </c>
      <c r="O229" s="155"/>
      <c r="P229" s="155" t="str">
        <f t="shared" si="8"/>
        <v/>
      </c>
      <c r="Q229" s="157"/>
    </row>
    <row r="230" spans="1:37" ht="15.75" customHeight="1" x14ac:dyDescent="0.3">
      <c r="A230" s="18">
        <f t="shared" si="32"/>
        <v>145</v>
      </c>
      <c r="B230" s="19"/>
      <c r="C230" s="19"/>
      <c r="D230" s="20" t="s">
        <v>192</v>
      </c>
      <c r="E230" s="21">
        <v>76</v>
      </c>
      <c r="F230" s="22">
        <v>0</v>
      </c>
      <c r="G230" s="21">
        <f t="shared" ref="G230:G235" si="80">E230+(E230*F230)</f>
        <v>76</v>
      </c>
      <c r="H230" s="19" t="s">
        <v>41</v>
      </c>
      <c r="I230" s="23">
        <v>36</v>
      </c>
      <c r="J230" s="23">
        <v>59.478260869565219</v>
      </c>
      <c r="K230" s="23">
        <f t="shared" ref="K230:K235" si="81">IF(H230&lt;&gt;"",(J230/8/$K$229),"")</f>
        <v>1.4869565217391305</v>
      </c>
      <c r="L230" s="23">
        <f t="shared" si="6"/>
        <v>46</v>
      </c>
      <c r="M230" s="23">
        <v>114</v>
      </c>
      <c r="N230" s="24">
        <f t="shared" si="7"/>
        <v>2736</v>
      </c>
      <c r="O230" s="24">
        <f t="shared" ref="O230:O235" si="82">M230*G230</f>
        <v>8664</v>
      </c>
      <c r="P230" s="24">
        <f t="shared" si="8"/>
        <v>11400</v>
      </c>
      <c r="Q230" s="25"/>
      <c r="R230" s="17"/>
      <c r="S230" s="17"/>
      <c r="T230" s="17"/>
      <c r="U230" s="17"/>
      <c r="V230" s="17"/>
      <c r="W230" s="17"/>
      <c r="X230" s="17"/>
      <c r="Y230" s="17"/>
      <c r="Z230" s="17"/>
      <c r="AA230" s="17"/>
      <c r="AB230" s="17"/>
      <c r="AC230" s="17"/>
      <c r="AD230" s="17"/>
      <c r="AE230" s="17"/>
      <c r="AF230" s="17"/>
      <c r="AG230" s="17"/>
      <c r="AH230" s="17"/>
      <c r="AI230" s="17"/>
      <c r="AJ230" s="17"/>
      <c r="AK230" s="17"/>
    </row>
    <row r="231" spans="1:37" ht="15.75" customHeight="1" x14ac:dyDescent="0.3">
      <c r="A231" s="18">
        <f t="shared" si="32"/>
        <v>146</v>
      </c>
      <c r="B231" s="19" t="s">
        <v>51</v>
      </c>
      <c r="C231" s="19"/>
      <c r="D231" s="20" t="s">
        <v>193</v>
      </c>
      <c r="E231" s="21">
        <v>76</v>
      </c>
      <c r="F231" s="22">
        <v>0</v>
      </c>
      <c r="G231" s="21">
        <f t="shared" si="80"/>
        <v>76</v>
      </c>
      <c r="H231" s="19" t="s">
        <v>41</v>
      </c>
      <c r="I231" s="23">
        <v>32.4</v>
      </c>
      <c r="J231" s="23">
        <v>53.530434782608701</v>
      </c>
      <c r="K231" s="23">
        <f t="shared" si="81"/>
        <v>1.3382608695652176</v>
      </c>
      <c r="L231" s="23">
        <f t="shared" si="6"/>
        <v>46</v>
      </c>
      <c r="M231" s="23">
        <v>102.6</v>
      </c>
      <c r="N231" s="24">
        <f t="shared" si="7"/>
        <v>2462.4</v>
      </c>
      <c r="O231" s="24">
        <f t="shared" si="82"/>
        <v>7797.5999999999995</v>
      </c>
      <c r="P231" s="24">
        <f t="shared" si="8"/>
        <v>10260</v>
      </c>
      <c r="Q231" s="25"/>
      <c r="R231" s="17"/>
      <c r="S231" s="17"/>
      <c r="T231" s="17"/>
      <c r="U231" s="17"/>
      <c r="V231" s="17"/>
      <c r="W231" s="17"/>
      <c r="X231" s="17"/>
      <c r="Y231" s="17"/>
      <c r="Z231" s="17"/>
      <c r="AA231" s="17"/>
      <c r="AB231" s="17"/>
      <c r="AC231" s="17"/>
      <c r="AD231" s="17"/>
      <c r="AE231" s="17"/>
      <c r="AF231" s="17"/>
      <c r="AG231" s="17"/>
      <c r="AH231" s="17"/>
      <c r="AI231" s="17"/>
      <c r="AJ231" s="17"/>
      <c r="AK231" s="17"/>
    </row>
    <row r="232" spans="1:37" ht="15.75" customHeight="1" x14ac:dyDescent="0.3">
      <c r="A232" s="18">
        <f t="shared" si="32"/>
        <v>147</v>
      </c>
      <c r="B232" s="19" t="s">
        <v>51</v>
      </c>
      <c r="C232" s="19"/>
      <c r="D232" s="20" t="s">
        <v>194</v>
      </c>
      <c r="E232" s="21">
        <v>76</v>
      </c>
      <c r="F232" s="22">
        <v>0</v>
      </c>
      <c r="G232" s="21">
        <f t="shared" si="80"/>
        <v>76</v>
      </c>
      <c r="H232" s="19" t="s">
        <v>41</v>
      </c>
      <c r="I232" s="23">
        <v>24</v>
      </c>
      <c r="J232" s="23">
        <v>39.652173913043477</v>
      </c>
      <c r="K232" s="23">
        <f t="shared" si="81"/>
        <v>0.9913043478260869</v>
      </c>
      <c r="L232" s="23">
        <f t="shared" si="6"/>
        <v>46</v>
      </c>
      <c r="M232" s="23">
        <v>76</v>
      </c>
      <c r="N232" s="24">
        <f t="shared" si="7"/>
        <v>1824</v>
      </c>
      <c r="O232" s="24">
        <f t="shared" si="82"/>
        <v>5776</v>
      </c>
      <c r="P232" s="24">
        <f t="shared" si="8"/>
        <v>7600</v>
      </c>
      <c r="Q232" s="25"/>
      <c r="R232" s="17"/>
      <c r="S232" s="17"/>
      <c r="T232" s="17"/>
      <c r="U232" s="17"/>
      <c r="V232" s="17"/>
      <c r="W232" s="17"/>
      <c r="X232" s="17"/>
      <c r="Y232" s="17"/>
      <c r="Z232" s="17"/>
      <c r="AA232" s="17"/>
      <c r="AB232" s="17"/>
      <c r="AC232" s="17"/>
      <c r="AD232" s="17"/>
      <c r="AE232" s="17"/>
      <c r="AF232" s="17"/>
      <c r="AG232" s="17"/>
      <c r="AH232" s="17"/>
      <c r="AI232" s="17"/>
      <c r="AJ232" s="17"/>
      <c r="AK232" s="17"/>
    </row>
    <row r="233" spans="1:37" ht="15.75" customHeight="1" x14ac:dyDescent="0.3">
      <c r="A233" s="18">
        <f t="shared" si="32"/>
        <v>148</v>
      </c>
      <c r="B233" s="19" t="s">
        <v>51</v>
      </c>
      <c r="C233" s="19"/>
      <c r="D233" s="20" t="s">
        <v>195</v>
      </c>
      <c r="E233" s="21">
        <v>76</v>
      </c>
      <c r="F233" s="22">
        <v>0</v>
      </c>
      <c r="G233" s="21">
        <f t="shared" si="80"/>
        <v>76</v>
      </c>
      <c r="H233" s="19" t="s">
        <v>41</v>
      </c>
      <c r="I233" s="23">
        <v>26.4</v>
      </c>
      <c r="J233" s="23">
        <v>43.617391304347827</v>
      </c>
      <c r="K233" s="23">
        <f t="shared" si="81"/>
        <v>1.0904347826086958</v>
      </c>
      <c r="L233" s="23">
        <f t="shared" si="6"/>
        <v>46</v>
      </c>
      <c r="M233" s="23">
        <v>83.6</v>
      </c>
      <c r="N233" s="24">
        <f t="shared" si="7"/>
        <v>2006.4</v>
      </c>
      <c r="O233" s="24">
        <f t="shared" si="82"/>
        <v>6353.5999999999995</v>
      </c>
      <c r="P233" s="24">
        <f t="shared" si="8"/>
        <v>8360</v>
      </c>
      <c r="Q233" s="25"/>
      <c r="R233" s="17"/>
      <c r="S233" s="17"/>
      <c r="T233" s="17"/>
      <c r="U233" s="17"/>
      <c r="V233" s="17"/>
      <c r="W233" s="17"/>
      <c r="X233" s="17"/>
      <c r="Y233" s="17"/>
      <c r="Z233" s="17"/>
      <c r="AA233" s="17"/>
      <c r="AB233" s="17"/>
      <c r="AC233" s="17"/>
      <c r="AD233" s="17"/>
      <c r="AE233" s="17"/>
      <c r="AF233" s="17"/>
      <c r="AG233" s="17"/>
      <c r="AH233" s="17"/>
      <c r="AI233" s="17"/>
      <c r="AJ233" s="17"/>
      <c r="AK233" s="17"/>
    </row>
    <row r="234" spans="1:37" ht="15.75" customHeight="1" x14ac:dyDescent="0.3">
      <c r="A234" s="18">
        <f t="shared" si="32"/>
        <v>149</v>
      </c>
      <c r="B234" s="19" t="s">
        <v>51</v>
      </c>
      <c r="C234" s="19"/>
      <c r="D234" s="20" t="s">
        <v>196</v>
      </c>
      <c r="E234" s="21">
        <v>48</v>
      </c>
      <c r="F234" s="22">
        <v>0</v>
      </c>
      <c r="G234" s="21">
        <f t="shared" si="80"/>
        <v>48</v>
      </c>
      <c r="H234" s="19" t="s">
        <v>41</v>
      </c>
      <c r="I234" s="23">
        <v>114</v>
      </c>
      <c r="J234" s="23">
        <v>118.95652173913044</v>
      </c>
      <c r="K234" s="23">
        <f t="shared" si="81"/>
        <v>2.973913043478261</v>
      </c>
      <c r="L234" s="23">
        <f t="shared" si="6"/>
        <v>46</v>
      </c>
      <c r="M234" s="23">
        <v>361</v>
      </c>
      <c r="N234" s="24">
        <f t="shared" si="7"/>
        <v>5472</v>
      </c>
      <c r="O234" s="24">
        <f t="shared" si="82"/>
        <v>17328</v>
      </c>
      <c r="P234" s="24">
        <f t="shared" si="8"/>
        <v>22800</v>
      </c>
      <c r="Q234" s="25"/>
      <c r="R234" s="17"/>
      <c r="S234" s="17"/>
      <c r="T234" s="17"/>
      <c r="U234" s="17"/>
      <c r="V234" s="17"/>
      <c r="W234" s="17"/>
      <c r="X234" s="17"/>
      <c r="Y234" s="17"/>
      <c r="Z234" s="17"/>
      <c r="AA234" s="17"/>
      <c r="AB234" s="17"/>
      <c r="AC234" s="17"/>
      <c r="AD234" s="17"/>
      <c r="AE234" s="17"/>
      <c r="AF234" s="17"/>
      <c r="AG234" s="17"/>
      <c r="AH234" s="17"/>
      <c r="AI234" s="17"/>
      <c r="AJ234" s="17"/>
      <c r="AK234" s="17"/>
    </row>
    <row r="235" spans="1:37" ht="15.75" customHeight="1" x14ac:dyDescent="0.3">
      <c r="A235" s="18">
        <f t="shared" si="32"/>
        <v>150</v>
      </c>
      <c r="B235" s="19" t="s">
        <v>51</v>
      </c>
      <c r="C235" s="19"/>
      <c r="D235" s="20" t="s">
        <v>197</v>
      </c>
      <c r="E235" s="21">
        <v>28</v>
      </c>
      <c r="F235" s="22">
        <v>0</v>
      </c>
      <c r="G235" s="21">
        <f t="shared" si="80"/>
        <v>28</v>
      </c>
      <c r="H235" s="19" t="s">
        <v>41</v>
      </c>
      <c r="I235" s="23">
        <v>90</v>
      </c>
      <c r="J235" s="23">
        <v>54.782608695652172</v>
      </c>
      <c r="K235" s="23">
        <f t="shared" si="81"/>
        <v>1.3695652173913042</v>
      </c>
      <c r="L235" s="23">
        <f t="shared" si="6"/>
        <v>46</v>
      </c>
      <c r="M235" s="23">
        <v>285</v>
      </c>
      <c r="N235" s="24">
        <f t="shared" si="7"/>
        <v>2520</v>
      </c>
      <c r="O235" s="24">
        <f t="shared" si="82"/>
        <v>7980</v>
      </c>
      <c r="P235" s="24">
        <f t="shared" si="8"/>
        <v>10500</v>
      </c>
      <c r="Q235" s="25"/>
      <c r="R235" s="17"/>
      <c r="S235" s="17"/>
      <c r="T235" s="17"/>
      <c r="U235" s="17"/>
      <c r="V235" s="17"/>
      <c r="W235" s="17"/>
      <c r="X235" s="17"/>
      <c r="Y235" s="17"/>
      <c r="Z235" s="17"/>
      <c r="AA235" s="17"/>
      <c r="AB235" s="17"/>
      <c r="AC235" s="17"/>
      <c r="AD235" s="17"/>
      <c r="AE235" s="17"/>
      <c r="AF235" s="17"/>
      <c r="AG235" s="17"/>
      <c r="AH235" s="17"/>
      <c r="AI235" s="17"/>
      <c r="AJ235" s="17"/>
      <c r="AK235" s="17"/>
    </row>
    <row r="236" spans="1:37" ht="15.75" customHeight="1" x14ac:dyDescent="0.3">
      <c r="A236" s="34" t="str">
        <f t="shared" si="32"/>
        <v/>
      </c>
      <c r="B236" s="19"/>
      <c r="C236" s="19"/>
      <c r="D236" s="20"/>
      <c r="E236" s="21"/>
      <c r="F236" s="22"/>
      <c r="G236" s="21"/>
      <c r="H236" s="19"/>
      <c r="I236" s="23" t="s">
        <v>44</v>
      </c>
      <c r="J236" s="23" t="s">
        <v>44</v>
      </c>
      <c r="K236" s="23" t="str">
        <f t="shared" ref="K236:K237" si="83">IF(H236&lt;&gt;"",(J236/8/$K$26),"")</f>
        <v/>
      </c>
      <c r="L236" s="23" t="str">
        <f t="shared" si="6"/>
        <v/>
      </c>
      <c r="M236" s="23" t="s">
        <v>44</v>
      </c>
      <c r="N236" s="24" t="str">
        <f t="shared" si="7"/>
        <v/>
      </c>
      <c r="O236" s="24"/>
      <c r="P236" s="24" t="str">
        <f t="shared" si="8"/>
        <v/>
      </c>
      <c r="Q236" s="25"/>
      <c r="R236" s="17"/>
      <c r="S236" s="17"/>
      <c r="T236" s="17"/>
      <c r="U236" s="17"/>
      <c r="V236" s="17"/>
      <c r="W236" s="17"/>
      <c r="X236" s="17"/>
      <c r="Y236" s="17"/>
      <c r="Z236" s="17"/>
      <c r="AA236" s="17"/>
      <c r="AB236" s="17"/>
      <c r="AC236" s="17"/>
      <c r="AD236" s="17"/>
      <c r="AE236" s="17"/>
      <c r="AF236" s="17"/>
      <c r="AG236" s="17"/>
      <c r="AH236" s="17"/>
      <c r="AI236" s="17"/>
      <c r="AJ236" s="17"/>
      <c r="AK236" s="17"/>
    </row>
    <row r="237" spans="1:37" ht="15.75" customHeight="1" x14ac:dyDescent="0.3">
      <c r="A237" s="34" t="str">
        <f t="shared" si="32"/>
        <v/>
      </c>
      <c r="B237" s="19"/>
      <c r="C237" s="19"/>
      <c r="D237" s="26" t="s">
        <v>35</v>
      </c>
      <c r="E237" s="27"/>
      <c r="F237" s="28"/>
      <c r="G237" s="27"/>
      <c r="H237" s="29"/>
      <c r="I237" s="30" t="s">
        <v>44</v>
      </c>
      <c r="J237" s="30" t="s">
        <v>44</v>
      </c>
      <c r="K237" s="30" t="str">
        <f t="shared" si="83"/>
        <v/>
      </c>
      <c r="L237" s="30" t="str">
        <f t="shared" si="6"/>
        <v/>
      </c>
      <c r="M237" s="30" t="s">
        <v>44</v>
      </c>
      <c r="N237" s="31" t="str">
        <f t="shared" si="7"/>
        <v/>
      </c>
      <c r="O237" s="31"/>
      <c r="P237" s="32" t="str">
        <f t="shared" si="8"/>
        <v/>
      </c>
      <c r="Q237" s="33">
        <f>SUM(P230:P236)</f>
        <v>70920</v>
      </c>
      <c r="R237" s="17"/>
      <c r="S237" s="17"/>
      <c r="T237" s="17"/>
      <c r="U237" s="17"/>
      <c r="V237" s="17"/>
      <c r="W237" s="17"/>
      <c r="X237" s="17"/>
      <c r="Y237" s="17"/>
      <c r="Z237" s="17"/>
      <c r="AA237" s="17"/>
      <c r="AB237" s="17"/>
      <c r="AC237" s="17"/>
      <c r="AD237" s="17"/>
      <c r="AE237" s="17"/>
      <c r="AF237" s="17"/>
      <c r="AG237" s="17"/>
      <c r="AH237" s="17"/>
      <c r="AI237" s="17"/>
      <c r="AJ237" s="17"/>
      <c r="AK237" s="17"/>
    </row>
    <row r="238" spans="1:37" s="158" customFormat="1" ht="15.75" customHeight="1" x14ac:dyDescent="0.3">
      <c r="A238" s="154" t="str">
        <f t="shared" si="32"/>
        <v/>
      </c>
      <c r="B238" s="155"/>
      <c r="C238" s="155" t="s">
        <v>198</v>
      </c>
      <c r="D238" s="155" t="s">
        <v>199</v>
      </c>
      <c r="E238" s="155"/>
      <c r="F238" s="155"/>
      <c r="G238" s="155"/>
      <c r="H238" s="155"/>
      <c r="I238" s="155" t="s">
        <v>44</v>
      </c>
      <c r="J238" s="155" t="s">
        <v>44</v>
      </c>
      <c r="K238" s="159">
        <v>5</v>
      </c>
      <c r="L238" s="155" t="str">
        <f t="shared" si="6"/>
        <v/>
      </c>
      <c r="M238" s="155" t="s">
        <v>44</v>
      </c>
      <c r="N238" s="155" t="str">
        <f t="shared" si="7"/>
        <v/>
      </c>
      <c r="O238" s="155"/>
      <c r="P238" s="155" t="str">
        <f t="shared" si="8"/>
        <v/>
      </c>
      <c r="Q238" s="157"/>
    </row>
    <row r="239" spans="1:37" ht="15.75" customHeight="1" x14ac:dyDescent="0.3">
      <c r="A239" s="34" t="str">
        <f t="shared" si="32"/>
        <v/>
      </c>
      <c r="B239" s="19"/>
      <c r="C239" s="19"/>
      <c r="D239" s="160" t="s">
        <v>200</v>
      </c>
      <c r="E239" s="21"/>
      <c r="F239" s="22"/>
      <c r="G239" s="21"/>
      <c r="H239" s="19"/>
      <c r="I239" s="23" t="s">
        <v>44</v>
      </c>
      <c r="J239" s="23" t="s">
        <v>44</v>
      </c>
      <c r="K239" s="23" t="str">
        <f>IF(H239&lt;&gt;"",(J239/8/$K$26),"")</f>
        <v/>
      </c>
      <c r="L239" s="23" t="str">
        <f t="shared" si="6"/>
        <v/>
      </c>
      <c r="M239" s="23" t="s">
        <v>44</v>
      </c>
      <c r="N239" s="24" t="str">
        <f t="shared" si="7"/>
        <v/>
      </c>
      <c r="O239" s="24"/>
      <c r="P239" s="24" t="str">
        <f t="shared" si="8"/>
        <v/>
      </c>
      <c r="Q239" s="25"/>
      <c r="R239" s="17"/>
      <c r="S239" s="17"/>
      <c r="T239" s="17"/>
      <c r="U239" s="17"/>
      <c r="V239" s="17"/>
      <c r="W239" s="17"/>
      <c r="X239" s="17"/>
      <c r="Y239" s="17"/>
      <c r="Z239" s="17"/>
      <c r="AA239" s="17"/>
      <c r="AB239" s="17"/>
      <c r="AC239" s="17"/>
      <c r="AD239" s="17"/>
      <c r="AE239" s="17"/>
      <c r="AF239" s="17"/>
      <c r="AG239" s="17"/>
      <c r="AH239" s="17"/>
      <c r="AI239" s="17"/>
      <c r="AJ239" s="17"/>
      <c r="AK239" s="17"/>
    </row>
    <row r="240" spans="1:37" ht="15.75" customHeight="1" x14ac:dyDescent="0.3">
      <c r="A240" s="18">
        <f t="shared" si="32"/>
        <v>151</v>
      </c>
      <c r="B240" s="19" t="s">
        <v>51</v>
      </c>
      <c r="C240" s="19"/>
      <c r="D240" s="20" t="s">
        <v>201</v>
      </c>
      <c r="E240" s="21">
        <v>48</v>
      </c>
      <c r="F240" s="22">
        <v>0</v>
      </c>
      <c r="G240" s="21">
        <f t="shared" ref="G240:G244" si="84">E240+(E240*F240)</f>
        <v>48</v>
      </c>
      <c r="H240" s="19" t="s">
        <v>41</v>
      </c>
      <c r="I240" s="23">
        <v>222</v>
      </c>
      <c r="J240" s="23">
        <v>231.65217391304347</v>
      </c>
      <c r="K240" s="23">
        <f t="shared" ref="K240:K244" si="85">IF(H240&lt;&gt;"",(J240/8/$K$238),"")</f>
        <v>5.7913043478260864</v>
      </c>
      <c r="L240" s="23">
        <f t="shared" si="6"/>
        <v>46</v>
      </c>
      <c r="M240" s="23">
        <v>703</v>
      </c>
      <c r="N240" s="24">
        <f t="shared" si="7"/>
        <v>10656</v>
      </c>
      <c r="O240" s="24">
        <f t="shared" ref="O240:O244" si="86">M240*G240</f>
        <v>33744</v>
      </c>
      <c r="P240" s="24">
        <f t="shared" si="8"/>
        <v>44400</v>
      </c>
      <c r="Q240" s="25"/>
      <c r="R240" s="17"/>
      <c r="S240" s="17"/>
      <c r="T240" s="17"/>
      <c r="U240" s="17"/>
      <c r="V240" s="17"/>
      <c r="W240" s="17"/>
      <c r="X240" s="17"/>
      <c r="Y240" s="17"/>
      <c r="Z240" s="17"/>
      <c r="AA240" s="17"/>
      <c r="AB240" s="17"/>
      <c r="AC240" s="17"/>
      <c r="AD240" s="17"/>
      <c r="AE240" s="17"/>
      <c r="AF240" s="17"/>
      <c r="AG240" s="17"/>
      <c r="AH240" s="17"/>
      <c r="AI240" s="17"/>
      <c r="AJ240" s="17"/>
      <c r="AK240" s="17"/>
    </row>
    <row r="241" spans="1:37" ht="15.75" customHeight="1" x14ac:dyDescent="0.3">
      <c r="A241" s="18">
        <f t="shared" si="32"/>
        <v>152</v>
      </c>
      <c r="B241" s="19" t="s">
        <v>51</v>
      </c>
      <c r="C241" s="19"/>
      <c r="D241" s="20" t="s">
        <v>202</v>
      </c>
      <c r="E241" s="21">
        <v>48</v>
      </c>
      <c r="F241" s="22">
        <v>0</v>
      </c>
      <c r="G241" s="21">
        <f t="shared" si="84"/>
        <v>48</v>
      </c>
      <c r="H241" s="19" t="s">
        <v>41</v>
      </c>
      <c r="I241" s="23">
        <v>234</v>
      </c>
      <c r="J241" s="23">
        <v>244.17391304347825</v>
      </c>
      <c r="K241" s="23">
        <f t="shared" si="85"/>
        <v>6.1043478260869559</v>
      </c>
      <c r="L241" s="23">
        <f t="shared" si="6"/>
        <v>46</v>
      </c>
      <c r="M241" s="23">
        <v>741</v>
      </c>
      <c r="N241" s="24">
        <f t="shared" si="7"/>
        <v>11232</v>
      </c>
      <c r="O241" s="24">
        <f t="shared" si="86"/>
        <v>35568</v>
      </c>
      <c r="P241" s="24">
        <f t="shared" si="8"/>
        <v>46800</v>
      </c>
      <c r="Q241" s="25"/>
      <c r="R241" s="17"/>
      <c r="S241" s="17"/>
      <c r="T241" s="17"/>
      <c r="U241" s="17"/>
      <c r="V241" s="17"/>
      <c r="W241" s="17"/>
      <c r="X241" s="17"/>
      <c r="Y241" s="17"/>
      <c r="Z241" s="17"/>
      <c r="AA241" s="17"/>
      <c r="AB241" s="17"/>
      <c r="AC241" s="17"/>
      <c r="AD241" s="17"/>
      <c r="AE241" s="17"/>
      <c r="AF241" s="17"/>
      <c r="AG241" s="17"/>
      <c r="AH241" s="17"/>
      <c r="AI241" s="17"/>
      <c r="AJ241" s="17"/>
      <c r="AK241" s="17"/>
    </row>
    <row r="242" spans="1:37" ht="15.75" customHeight="1" x14ac:dyDescent="0.3">
      <c r="A242" s="18">
        <f t="shared" si="32"/>
        <v>153</v>
      </c>
      <c r="B242" s="19" t="s">
        <v>51</v>
      </c>
      <c r="C242" s="19"/>
      <c r="D242" s="20" t="s">
        <v>203</v>
      </c>
      <c r="E242" s="21">
        <v>48</v>
      </c>
      <c r="F242" s="22">
        <v>0</v>
      </c>
      <c r="G242" s="21">
        <f t="shared" si="84"/>
        <v>48</v>
      </c>
      <c r="H242" s="19" t="s">
        <v>41</v>
      </c>
      <c r="I242" s="23">
        <v>300</v>
      </c>
      <c r="J242" s="23">
        <v>313.04347826086956</v>
      </c>
      <c r="K242" s="23">
        <f t="shared" si="85"/>
        <v>7.8260869565217392</v>
      </c>
      <c r="L242" s="23">
        <f t="shared" si="6"/>
        <v>46</v>
      </c>
      <c r="M242" s="23">
        <v>950</v>
      </c>
      <c r="N242" s="24">
        <f t="shared" si="7"/>
        <v>14400</v>
      </c>
      <c r="O242" s="24">
        <f t="shared" si="86"/>
        <v>45600</v>
      </c>
      <c r="P242" s="24">
        <f t="shared" si="8"/>
        <v>60000</v>
      </c>
      <c r="Q242" s="25"/>
      <c r="R242" s="17"/>
      <c r="S242" s="17"/>
      <c r="T242" s="17"/>
      <c r="U242" s="17"/>
      <c r="V242" s="17"/>
      <c r="W242" s="17"/>
      <c r="X242" s="17"/>
      <c r="Y242" s="17"/>
      <c r="Z242" s="17"/>
      <c r="AA242" s="17"/>
      <c r="AB242" s="17"/>
      <c r="AC242" s="17"/>
      <c r="AD242" s="17"/>
      <c r="AE242" s="17"/>
      <c r="AF242" s="17"/>
      <c r="AG242" s="17"/>
      <c r="AH242" s="17"/>
      <c r="AI242" s="17"/>
      <c r="AJ242" s="17"/>
      <c r="AK242" s="17"/>
    </row>
    <row r="243" spans="1:37" ht="15.75" customHeight="1" x14ac:dyDescent="0.3">
      <c r="A243" s="18">
        <f t="shared" si="32"/>
        <v>154</v>
      </c>
      <c r="B243" s="19" t="s">
        <v>51</v>
      </c>
      <c r="C243" s="19"/>
      <c r="D243" s="20" t="s">
        <v>204</v>
      </c>
      <c r="E243" s="21">
        <v>48</v>
      </c>
      <c r="F243" s="22">
        <v>0</v>
      </c>
      <c r="G243" s="21">
        <f t="shared" si="84"/>
        <v>48</v>
      </c>
      <c r="H243" s="19" t="s">
        <v>41</v>
      </c>
      <c r="I243" s="23">
        <v>528</v>
      </c>
      <c r="J243" s="23">
        <v>550.95652173913038</v>
      </c>
      <c r="K243" s="23">
        <f t="shared" si="85"/>
        <v>13.77391304347826</v>
      </c>
      <c r="L243" s="23">
        <f t="shared" si="6"/>
        <v>46</v>
      </c>
      <c r="M243" s="23">
        <v>1672</v>
      </c>
      <c r="N243" s="24">
        <f t="shared" si="7"/>
        <v>25343.999999999996</v>
      </c>
      <c r="O243" s="24">
        <f t="shared" si="86"/>
        <v>80256</v>
      </c>
      <c r="P243" s="24">
        <f t="shared" si="8"/>
        <v>105600</v>
      </c>
      <c r="Q243" s="25"/>
      <c r="R243" s="17"/>
      <c r="S243" s="17"/>
      <c r="T243" s="17"/>
      <c r="U243" s="17"/>
      <c r="V243" s="17"/>
      <c r="W243" s="17"/>
      <c r="X243" s="17"/>
      <c r="Y243" s="17"/>
      <c r="Z243" s="17"/>
      <c r="AA243" s="17"/>
      <c r="AB243" s="17"/>
      <c r="AC243" s="17"/>
      <c r="AD243" s="17"/>
      <c r="AE243" s="17"/>
      <c r="AF243" s="17"/>
      <c r="AG243" s="17"/>
      <c r="AH243" s="17"/>
      <c r="AI243" s="17"/>
      <c r="AJ243" s="17"/>
      <c r="AK243" s="17"/>
    </row>
    <row r="244" spans="1:37" ht="15.75" customHeight="1" x14ac:dyDescent="0.3">
      <c r="A244" s="18">
        <f t="shared" si="32"/>
        <v>155</v>
      </c>
      <c r="B244" s="19" t="s">
        <v>51</v>
      </c>
      <c r="C244" s="19"/>
      <c r="D244" s="20" t="s">
        <v>205</v>
      </c>
      <c r="E244" s="21">
        <v>48</v>
      </c>
      <c r="F244" s="22">
        <v>0</v>
      </c>
      <c r="G244" s="21">
        <f t="shared" si="84"/>
        <v>48</v>
      </c>
      <c r="H244" s="19" t="s">
        <v>41</v>
      </c>
      <c r="I244" s="23">
        <v>252</v>
      </c>
      <c r="J244" s="23">
        <v>262.95652173913044</v>
      </c>
      <c r="K244" s="23">
        <f t="shared" si="85"/>
        <v>6.5739130434782611</v>
      </c>
      <c r="L244" s="23">
        <f t="shared" si="6"/>
        <v>46</v>
      </c>
      <c r="M244" s="23">
        <v>798</v>
      </c>
      <c r="N244" s="24">
        <f t="shared" si="7"/>
        <v>12096</v>
      </c>
      <c r="O244" s="24">
        <f t="shared" si="86"/>
        <v>38304</v>
      </c>
      <c r="P244" s="24">
        <f t="shared" si="8"/>
        <v>50400</v>
      </c>
      <c r="Q244" s="25"/>
      <c r="R244" s="17"/>
      <c r="S244" s="17"/>
      <c r="T244" s="17"/>
      <c r="U244" s="17"/>
      <c r="V244" s="17"/>
      <c r="W244" s="17"/>
      <c r="X244" s="17"/>
      <c r="Y244" s="17"/>
      <c r="Z244" s="17"/>
      <c r="AA244" s="17"/>
      <c r="AB244" s="17"/>
      <c r="AC244" s="17"/>
      <c r="AD244" s="17"/>
      <c r="AE244" s="17"/>
      <c r="AF244" s="17"/>
      <c r="AG244" s="17"/>
      <c r="AH244" s="17"/>
      <c r="AI244" s="17"/>
      <c r="AJ244" s="17"/>
      <c r="AK244" s="17"/>
    </row>
    <row r="245" spans="1:37" ht="15.75" customHeight="1" x14ac:dyDescent="0.3">
      <c r="A245" s="34" t="str">
        <f t="shared" si="32"/>
        <v/>
      </c>
      <c r="B245" s="19"/>
      <c r="C245" s="19"/>
      <c r="D245" s="20"/>
      <c r="E245" s="21"/>
      <c r="F245" s="22"/>
      <c r="G245" s="21"/>
      <c r="H245" s="19"/>
      <c r="I245" s="23" t="s">
        <v>44</v>
      </c>
      <c r="J245" s="23" t="s">
        <v>44</v>
      </c>
      <c r="K245" s="23" t="str">
        <f t="shared" ref="K245:K246" si="87">IF(H245&lt;&gt;"",(J245/8/$K$26),"")</f>
        <v/>
      </c>
      <c r="L245" s="23" t="str">
        <f t="shared" si="6"/>
        <v/>
      </c>
      <c r="M245" s="23" t="s">
        <v>44</v>
      </c>
      <c r="N245" s="24" t="str">
        <f t="shared" si="7"/>
        <v/>
      </c>
      <c r="O245" s="24"/>
      <c r="P245" s="24" t="str">
        <f t="shared" si="8"/>
        <v/>
      </c>
      <c r="Q245" s="25"/>
      <c r="R245" s="17"/>
      <c r="S245" s="17"/>
      <c r="T245" s="17"/>
      <c r="U245" s="17"/>
      <c r="V245" s="17"/>
      <c r="W245" s="17"/>
      <c r="X245" s="17"/>
      <c r="Y245" s="17"/>
      <c r="Z245" s="17"/>
      <c r="AA245" s="17"/>
      <c r="AB245" s="17"/>
      <c r="AC245" s="17"/>
      <c r="AD245" s="17"/>
      <c r="AE245" s="17"/>
      <c r="AF245" s="17"/>
      <c r="AG245" s="17"/>
      <c r="AH245" s="17"/>
      <c r="AI245" s="17"/>
      <c r="AJ245" s="17"/>
      <c r="AK245" s="17"/>
    </row>
    <row r="246" spans="1:37" ht="15.75" customHeight="1" x14ac:dyDescent="0.3">
      <c r="A246" s="34" t="str">
        <f t="shared" si="32"/>
        <v/>
      </c>
      <c r="B246" s="19"/>
      <c r="C246" s="19"/>
      <c r="D246" s="26" t="s">
        <v>35</v>
      </c>
      <c r="E246" s="27"/>
      <c r="F246" s="28"/>
      <c r="G246" s="27"/>
      <c r="H246" s="29"/>
      <c r="I246" s="30" t="s">
        <v>44</v>
      </c>
      <c r="J246" s="30" t="s">
        <v>44</v>
      </c>
      <c r="K246" s="30" t="str">
        <f t="shared" si="87"/>
        <v/>
      </c>
      <c r="L246" s="30" t="str">
        <f t="shared" si="6"/>
        <v/>
      </c>
      <c r="M246" s="30" t="s">
        <v>44</v>
      </c>
      <c r="N246" s="31" t="str">
        <f t="shared" si="7"/>
        <v/>
      </c>
      <c r="O246" s="31"/>
      <c r="P246" s="32" t="str">
        <f t="shared" si="8"/>
        <v/>
      </c>
      <c r="Q246" s="33">
        <f>SUM(P239:P245)</f>
        <v>307200</v>
      </c>
      <c r="R246" s="17"/>
      <c r="S246" s="17"/>
      <c r="T246" s="17"/>
      <c r="U246" s="17"/>
      <c r="V246" s="17"/>
      <c r="W246" s="17"/>
      <c r="X246" s="17"/>
      <c r="Y246" s="17"/>
      <c r="Z246" s="17"/>
      <c r="AA246" s="17"/>
      <c r="AB246" s="17"/>
      <c r="AC246" s="17"/>
      <c r="AD246" s="17"/>
      <c r="AE246" s="17"/>
      <c r="AF246" s="17"/>
      <c r="AG246" s="17"/>
      <c r="AH246" s="17"/>
      <c r="AI246" s="17"/>
      <c r="AJ246" s="17"/>
      <c r="AK246" s="17"/>
    </row>
    <row r="247" spans="1:37" s="158" customFormat="1" ht="15.75" customHeight="1" x14ac:dyDescent="0.3">
      <c r="A247" s="154" t="str">
        <f t="shared" si="32"/>
        <v/>
      </c>
      <c r="B247" s="155"/>
      <c r="C247" s="155" t="s">
        <v>206</v>
      </c>
      <c r="D247" s="155" t="s">
        <v>207</v>
      </c>
      <c r="E247" s="155"/>
      <c r="F247" s="155"/>
      <c r="G247" s="155"/>
      <c r="H247" s="155"/>
      <c r="I247" s="155" t="s">
        <v>44</v>
      </c>
      <c r="J247" s="155" t="s">
        <v>44</v>
      </c>
      <c r="K247" s="159">
        <v>2</v>
      </c>
      <c r="L247" s="155" t="str">
        <f t="shared" si="6"/>
        <v/>
      </c>
      <c r="M247" s="155" t="s">
        <v>44</v>
      </c>
      <c r="N247" s="155" t="str">
        <f t="shared" si="7"/>
        <v/>
      </c>
      <c r="O247" s="155"/>
      <c r="P247" s="155" t="str">
        <f t="shared" si="8"/>
        <v/>
      </c>
      <c r="Q247" s="157"/>
    </row>
    <row r="248" spans="1:37" ht="15.75" customHeight="1" x14ac:dyDescent="0.3">
      <c r="A248" s="34" t="str">
        <f t="shared" si="32"/>
        <v/>
      </c>
      <c r="B248" s="19"/>
      <c r="C248" s="19"/>
      <c r="D248" s="160" t="s">
        <v>208</v>
      </c>
      <c r="E248" s="21"/>
      <c r="F248" s="22"/>
      <c r="G248" s="21"/>
      <c r="H248" s="19"/>
      <c r="I248" s="23" t="s">
        <v>44</v>
      </c>
      <c r="J248" s="23" t="s">
        <v>44</v>
      </c>
      <c r="K248" s="23" t="str">
        <f>IF(H248&lt;&gt;"",(J248/8/$K$26),"")</f>
        <v/>
      </c>
      <c r="L248" s="23" t="str">
        <f t="shared" si="6"/>
        <v/>
      </c>
      <c r="M248" s="23" t="s">
        <v>44</v>
      </c>
      <c r="N248" s="24" t="str">
        <f t="shared" si="7"/>
        <v/>
      </c>
      <c r="O248" s="24"/>
      <c r="P248" s="24" t="str">
        <f t="shared" si="8"/>
        <v/>
      </c>
      <c r="Q248" s="25"/>
      <c r="R248" s="17"/>
      <c r="S248" s="17"/>
      <c r="T248" s="17"/>
      <c r="U248" s="17"/>
      <c r="V248" s="17"/>
      <c r="W248" s="17"/>
      <c r="X248" s="17"/>
      <c r="Y248" s="17"/>
      <c r="Z248" s="17"/>
      <c r="AA248" s="17"/>
      <c r="AB248" s="17"/>
      <c r="AC248" s="17"/>
      <c r="AD248" s="17"/>
      <c r="AE248" s="17"/>
      <c r="AF248" s="17"/>
      <c r="AG248" s="17"/>
      <c r="AH248" s="17"/>
      <c r="AI248" s="17"/>
      <c r="AJ248" s="17"/>
      <c r="AK248" s="17"/>
    </row>
    <row r="249" spans="1:37" ht="15.75" customHeight="1" x14ac:dyDescent="0.3">
      <c r="A249" s="18">
        <f t="shared" si="32"/>
        <v>156</v>
      </c>
      <c r="B249" s="19" t="s">
        <v>51</v>
      </c>
      <c r="C249" s="19"/>
      <c r="D249" s="20" t="s">
        <v>209</v>
      </c>
      <c r="E249" s="21">
        <v>1568.8</v>
      </c>
      <c r="F249" s="22">
        <v>0.1</v>
      </c>
      <c r="G249" s="21">
        <f>E249+(E249*F249)</f>
        <v>1725.6799999999998</v>
      </c>
      <c r="H249" s="19" t="s">
        <v>53</v>
      </c>
      <c r="I249" s="23">
        <v>1.4000000000000001</v>
      </c>
      <c r="J249" s="23">
        <v>52.52069565217392</v>
      </c>
      <c r="K249" s="23">
        <f t="shared" ref="K249:K250" si="88">IF(H249&lt;&gt;"",(J249/8/$K$247),"")</f>
        <v>3.28254347826087</v>
      </c>
      <c r="L249" s="23">
        <f t="shared" si="6"/>
        <v>46</v>
      </c>
      <c r="M249" s="23">
        <v>2.0999999999999996</v>
      </c>
      <c r="N249" s="24">
        <f t="shared" si="7"/>
        <v>2415.9520000000002</v>
      </c>
      <c r="O249" s="24">
        <f>M249*G249</f>
        <v>3623.927999999999</v>
      </c>
      <c r="P249" s="24">
        <f t="shared" si="8"/>
        <v>6039.8799999999992</v>
      </c>
      <c r="Q249" s="25"/>
      <c r="R249" s="17"/>
      <c r="S249" s="17"/>
      <c r="T249" s="17"/>
      <c r="U249" s="17"/>
      <c r="V249" s="17"/>
      <c r="W249" s="17"/>
      <c r="X249" s="17"/>
      <c r="Y249" s="17"/>
      <c r="Z249" s="17"/>
      <c r="AA249" s="17"/>
      <c r="AB249" s="17"/>
      <c r="AC249" s="17"/>
      <c r="AD249" s="17"/>
      <c r="AE249" s="17"/>
      <c r="AF249" s="17"/>
      <c r="AG249" s="17"/>
      <c r="AH249" s="17"/>
      <c r="AI249" s="17"/>
      <c r="AJ249" s="17"/>
      <c r="AK249" s="17"/>
    </row>
    <row r="250" spans="1:37" ht="15.75" customHeight="1" x14ac:dyDescent="0.3">
      <c r="A250" s="18" t="str">
        <f t="shared" si="32"/>
        <v/>
      </c>
      <c r="B250" s="19"/>
      <c r="C250" s="19"/>
      <c r="D250" s="20"/>
      <c r="E250" s="21"/>
      <c r="F250" s="22"/>
      <c r="G250" s="21"/>
      <c r="H250" s="19"/>
      <c r="I250" s="23" t="s">
        <v>44</v>
      </c>
      <c r="J250" s="23" t="s">
        <v>44</v>
      </c>
      <c r="K250" s="23" t="str">
        <f t="shared" si="88"/>
        <v/>
      </c>
      <c r="L250" s="23" t="str">
        <f t="shared" si="6"/>
        <v/>
      </c>
      <c r="M250" s="23" t="s">
        <v>44</v>
      </c>
      <c r="N250" s="24" t="str">
        <f t="shared" si="7"/>
        <v/>
      </c>
      <c r="O250" s="24"/>
      <c r="P250" s="24" t="str">
        <f t="shared" si="8"/>
        <v/>
      </c>
      <c r="Q250" s="25"/>
      <c r="R250" s="17"/>
      <c r="S250" s="17"/>
      <c r="T250" s="17"/>
      <c r="U250" s="17"/>
      <c r="V250" s="17"/>
      <c r="W250" s="17"/>
      <c r="X250" s="17"/>
      <c r="Y250" s="17"/>
      <c r="Z250" s="17"/>
      <c r="AA250" s="17"/>
      <c r="AB250" s="17"/>
      <c r="AC250" s="17"/>
      <c r="AD250" s="17"/>
      <c r="AE250" s="17"/>
      <c r="AF250" s="17"/>
      <c r="AG250" s="17"/>
      <c r="AH250" s="17"/>
      <c r="AI250" s="17"/>
      <c r="AJ250" s="17"/>
      <c r="AK250" s="17"/>
    </row>
    <row r="251" spans="1:37" ht="15.75" customHeight="1" x14ac:dyDescent="0.3">
      <c r="A251" s="34" t="str">
        <f t="shared" si="32"/>
        <v/>
      </c>
      <c r="B251" s="19"/>
      <c r="C251" s="19"/>
      <c r="D251" s="26" t="s">
        <v>35</v>
      </c>
      <c r="E251" s="27"/>
      <c r="F251" s="28"/>
      <c r="G251" s="27"/>
      <c r="H251" s="29"/>
      <c r="I251" s="30" t="s">
        <v>44</v>
      </c>
      <c r="J251" s="30" t="s">
        <v>44</v>
      </c>
      <c r="K251" s="30" t="str">
        <f>IF(H251&lt;&gt;"",(J251/8/$K$26),"")</f>
        <v/>
      </c>
      <c r="L251" s="30" t="str">
        <f t="shared" si="6"/>
        <v/>
      </c>
      <c r="M251" s="30" t="s">
        <v>44</v>
      </c>
      <c r="N251" s="31" t="str">
        <f t="shared" si="7"/>
        <v/>
      </c>
      <c r="O251" s="31"/>
      <c r="P251" s="32" t="str">
        <f t="shared" si="8"/>
        <v/>
      </c>
      <c r="Q251" s="33">
        <f>SUM(P248:P250)</f>
        <v>6039.8799999999992</v>
      </c>
      <c r="R251" s="17"/>
      <c r="S251" s="17"/>
      <c r="T251" s="17"/>
      <c r="U251" s="17"/>
      <c r="V251" s="17"/>
      <c r="W251" s="17"/>
      <c r="X251" s="17"/>
      <c r="Y251" s="17"/>
      <c r="Z251" s="17"/>
      <c r="AA251" s="17"/>
      <c r="AB251" s="17"/>
      <c r="AC251" s="17"/>
      <c r="AD251" s="17"/>
      <c r="AE251" s="17"/>
      <c r="AF251" s="17"/>
      <c r="AG251" s="17"/>
      <c r="AH251" s="17"/>
      <c r="AI251" s="17"/>
      <c r="AJ251" s="17"/>
      <c r="AK251" s="17"/>
    </row>
    <row r="252" spans="1:37" s="158" customFormat="1" ht="15.75" customHeight="1" x14ac:dyDescent="0.3">
      <c r="A252" s="154" t="str">
        <f t="shared" si="32"/>
        <v/>
      </c>
      <c r="B252" s="155"/>
      <c r="C252" s="155" t="s">
        <v>210</v>
      </c>
      <c r="D252" s="155" t="s">
        <v>211</v>
      </c>
      <c r="E252" s="155"/>
      <c r="F252" s="155"/>
      <c r="G252" s="155"/>
      <c r="H252" s="155"/>
      <c r="I252" s="155" t="s">
        <v>44</v>
      </c>
      <c r="J252" s="155" t="s">
        <v>44</v>
      </c>
      <c r="K252" s="159">
        <v>11</v>
      </c>
      <c r="L252" s="155" t="str">
        <f t="shared" si="6"/>
        <v/>
      </c>
      <c r="M252" s="155" t="s">
        <v>44</v>
      </c>
      <c r="N252" s="155" t="str">
        <f t="shared" si="7"/>
        <v/>
      </c>
      <c r="O252" s="155"/>
      <c r="P252" s="155" t="str">
        <f t="shared" si="8"/>
        <v/>
      </c>
      <c r="Q252" s="157"/>
    </row>
    <row r="253" spans="1:37" ht="15.75" customHeight="1" x14ac:dyDescent="0.3">
      <c r="A253" s="34" t="str">
        <f t="shared" si="32"/>
        <v/>
      </c>
      <c r="B253" s="19"/>
      <c r="C253" s="19"/>
      <c r="D253" s="160" t="s">
        <v>212</v>
      </c>
      <c r="E253" s="21"/>
      <c r="F253" s="22"/>
      <c r="G253" s="21"/>
      <c r="H253" s="19"/>
      <c r="I253" s="23" t="s">
        <v>44</v>
      </c>
      <c r="J253" s="23" t="s">
        <v>44</v>
      </c>
      <c r="K253" s="23" t="str">
        <f>IF(H253&lt;&gt;"",(J253/8/$K$26),"")</f>
        <v/>
      </c>
      <c r="L253" s="23" t="str">
        <f t="shared" si="6"/>
        <v/>
      </c>
      <c r="M253" s="23" t="s">
        <v>44</v>
      </c>
      <c r="N253" s="24" t="str">
        <f t="shared" si="7"/>
        <v/>
      </c>
      <c r="O253" s="24"/>
      <c r="P253" s="24" t="str">
        <f t="shared" si="8"/>
        <v/>
      </c>
      <c r="Q253" s="25"/>
      <c r="R253" s="17"/>
      <c r="S253" s="17"/>
      <c r="T253" s="17"/>
      <c r="U253" s="17"/>
      <c r="V253" s="17"/>
      <c r="W253" s="17"/>
      <c r="X253" s="17"/>
      <c r="Y253" s="17"/>
      <c r="Z253" s="17"/>
      <c r="AA253" s="17"/>
      <c r="AB253" s="17"/>
      <c r="AC253" s="17"/>
      <c r="AD253" s="17"/>
      <c r="AE253" s="17"/>
      <c r="AF253" s="17"/>
      <c r="AG253" s="17"/>
      <c r="AH253" s="17"/>
      <c r="AI253" s="17"/>
      <c r="AJ253" s="17"/>
      <c r="AK253" s="17"/>
    </row>
    <row r="254" spans="1:37" ht="15.75" customHeight="1" x14ac:dyDescent="0.3">
      <c r="A254" s="18">
        <f t="shared" si="32"/>
        <v>157</v>
      </c>
      <c r="B254" s="19" t="s">
        <v>51</v>
      </c>
      <c r="C254" s="41"/>
      <c r="D254" s="38" t="s">
        <v>213</v>
      </c>
      <c r="E254" s="21">
        <v>1</v>
      </c>
      <c r="F254" s="22">
        <v>0</v>
      </c>
      <c r="G254" s="21">
        <f t="shared" ref="G254:G255" si="89">E254+(E254*F254)</f>
        <v>1</v>
      </c>
      <c r="H254" s="19" t="s">
        <v>41</v>
      </c>
      <c r="I254" s="23">
        <v>1750</v>
      </c>
      <c r="J254" s="23">
        <v>38.043478260869563</v>
      </c>
      <c r="K254" s="23">
        <f t="shared" ref="K254:K255" si="90">IF(H254&lt;&gt;"",(J254/8/$K$252),"")</f>
        <v>0.43231225296442682</v>
      </c>
      <c r="L254" s="23">
        <f t="shared" si="6"/>
        <v>46</v>
      </c>
      <c r="M254" s="23">
        <v>5680</v>
      </c>
      <c r="N254" s="24">
        <f t="shared" si="7"/>
        <v>1750</v>
      </c>
      <c r="O254" s="24">
        <f t="shared" ref="O254:O255" si="91">M254*G254</f>
        <v>5680</v>
      </c>
      <c r="P254" s="24">
        <f t="shared" si="8"/>
        <v>7430</v>
      </c>
      <c r="Q254" s="25"/>
      <c r="R254" s="17"/>
      <c r="S254" s="17"/>
      <c r="T254" s="17"/>
      <c r="U254" s="17"/>
      <c r="V254" s="17"/>
      <c r="W254" s="17"/>
      <c r="X254" s="17"/>
      <c r="Y254" s="17"/>
      <c r="Z254" s="17"/>
      <c r="AA254" s="17"/>
      <c r="AB254" s="17"/>
      <c r="AC254" s="17"/>
      <c r="AD254" s="17"/>
      <c r="AE254" s="17"/>
      <c r="AF254" s="17"/>
      <c r="AG254" s="17"/>
      <c r="AH254" s="17"/>
      <c r="AI254" s="17"/>
      <c r="AJ254" s="17"/>
      <c r="AK254" s="17"/>
    </row>
    <row r="255" spans="1:37" ht="15.75" customHeight="1" x14ac:dyDescent="0.3">
      <c r="A255" s="18">
        <f t="shared" si="32"/>
        <v>158</v>
      </c>
      <c r="B255" s="19" t="s">
        <v>51</v>
      </c>
      <c r="C255" s="41"/>
      <c r="D255" s="20" t="s">
        <v>214</v>
      </c>
      <c r="E255" s="21">
        <v>2</v>
      </c>
      <c r="F255" s="22">
        <v>0</v>
      </c>
      <c r="G255" s="21">
        <f t="shared" si="89"/>
        <v>2</v>
      </c>
      <c r="H255" s="19" t="s">
        <v>41</v>
      </c>
      <c r="I255" s="23">
        <v>25200.000000000004</v>
      </c>
      <c r="J255" s="23">
        <v>1095.6521739130437</v>
      </c>
      <c r="K255" s="23">
        <f t="shared" si="90"/>
        <v>12.450592885375498</v>
      </c>
      <c r="L255" s="23">
        <f t="shared" si="6"/>
        <v>46</v>
      </c>
      <c r="M255" s="23">
        <v>64800</v>
      </c>
      <c r="N255" s="24">
        <f t="shared" si="7"/>
        <v>50400.000000000015</v>
      </c>
      <c r="O255" s="24">
        <f t="shared" si="91"/>
        <v>129600</v>
      </c>
      <c r="P255" s="24">
        <f t="shared" si="8"/>
        <v>180000</v>
      </c>
      <c r="Q255" s="25"/>
      <c r="R255" s="17"/>
      <c r="S255" s="17"/>
      <c r="T255" s="17"/>
      <c r="U255" s="17"/>
      <c r="V255" s="17"/>
      <c r="W255" s="17"/>
      <c r="X255" s="17"/>
      <c r="Y255" s="17"/>
      <c r="Z255" s="17"/>
      <c r="AA255" s="17"/>
      <c r="AB255" s="17"/>
      <c r="AC255" s="17"/>
      <c r="AD255" s="17"/>
      <c r="AE255" s="17"/>
      <c r="AF255" s="17"/>
      <c r="AG255" s="17"/>
      <c r="AH255" s="17"/>
      <c r="AI255" s="17"/>
      <c r="AJ255" s="17"/>
      <c r="AK255" s="17"/>
    </row>
    <row r="256" spans="1:37" ht="15.75" customHeight="1" x14ac:dyDescent="0.3">
      <c r="A256" s="34" t="str">
        <f t="shared" si="32"/>
        <v/>
      </c>
      <c r="B256" s="19"/>
      <c r="C256" s="19"/>
      <c r="D256" s="20"/>
      <c r="E256" s="21"/>
      <c r="F256" s="22"/>
      <c r="G256" s="21"/>
      <c r="H256" s="19"/>
      <c r="I256" s="23" t="s">
        <v>44</v>
      </c>
      <c r="J256" s="23" t="s">
        <v>44</v>
      </c>
      <c r="K256" s="23" t="str">
        <f t="shared" ref="K256:K257" si="92">IF(H256&lt;&gt;"",(J256/8/$K$26),"")</f>
        <v/>
      </c>
      <c r="L256" s="23" t="str">
        <f t="shared" si="6"/>
        <v/>
      </c>
      <c r="M256" s="23" t="s">
        <v>44</v>
      </c>
      <c r="N256" s="24" t="str">
        <f t="shared" si="7"/>
        <v/>
      </c>
      <c r="O256" s="24"/>
      <c r="P256" s="24" t="str">
        <f t="shared" si="8"/>
        <v/>
      </c>
      <c r="Q256" s="25"/>
      <c r="R256" s="17"/>
      <c r="S256" s="17"/>
      <c r="T256" s="17"/>
      <c r="U256" s="17"/>
      <c r="V256" s="17"/>
      <c r="W256" s="17"/>
      <c r="X256" s="17"/>
      <c r="Y256" s="17"/>
      <c r="Z256" s="17"/>
      <c r="AA256" s="17"/>
      <c r="AB256" s="17"/>
      <c r="AC256" s="17"/>
      <c r="AD256" s="17"/>
      <c r="AE256" s="17"/>
      <c r="AF256" s="17"/>
      <c r="AG256" s="17"/>
      <c r="AH256" s="17"/>
      <c r="AI256" s="17"/>
      <c r="AJ256" s="17"/>
      <c r="AK256" s="17"/>
    </row>
    <row r="257" spans="1:37" ht="15.75" customHeight="1" x14ac:dyDescent="0.3">
      <c r="A257" s="34" t="str">
        <f t="shared" si="32"/>
        <v/>
      </c>
      <c r="B257" s="19"/>
      <c r="C257" s="19"/>
      <c r="D257" s="26" t="s">
        <v>35</v>
      </c>
      <c r="E257" s="27"/>
      <c r="F257" s="28"/>
      <c r="G257" s="27"/>
      <c r="H257" s="29"/>
      <c r="I257" s="30" t="s">
        <v>44</v>
      </c>
      <c r="J257" s="30" t="s">
        <v>44</v>
      </c>
      <c r="K257" s="30" t="str">
        <f t="shared" si="92"/>
        <v/>
      </c>
      <c r="L257" s="30" t="str">
        <f t="shared" si="6"/>
        <v/>
      </c>
      <c r="M257" s="30" t="s">
        <v>44</v>
      </c>
      <c r="N257" s="31" t="str">
        <f t="shared" si="7"/>
        <v/>
      </c>
      <c r="O257" s="31"/>
      <c r="P257" s="32" t="str">
        <f t="shared" si="8"/>
        <v/>
      </c>
      <c r="Q257" s="33">
        <f>SUM(P253:P256)</f>
        <v>187430</v>
      </c>
      <c r="R257" s="17"/>
      <c r="S257" s="17"/>
      <c r="T257" s="17"/>
      <c r="U257" s="17"/>
      <c r="V257" s="17"/>
      <c r="W257" s="17"/>
      <c r="X257" s="17"/>
      <c r="Y257" s="17"/>
      <c r="Z257" s="17"/>
      <c r="AA257" s="17"/>
      <c r="AB257" s="17"/>
      <c r="AC257" s="17"/>
      <c r="AD257" s="17"/>
      <c r="AE257" s="17"/>
      <c r="AF257" s="17"/>
      <c r="AG257" s="17"/>
      <c r="AH257" s="17"/>
      <c r="AI257" s="17"/>
      <c r="AJ257" s="17"/>
      <c r="AK257" s="17"/>
    </row>
    <row r="258" spans="1:37" s="158" customFormat="1" ht="15.75" customHeight="1" x14ac:dyDescent="0.3">
      <c r="A258" s="154" t="str">
        <f t="shared" si="32"/>
        <v/>
      </c>
      <c r="B258" s="155"/>
      <c r="C258" s="155" t="s">
        <v>215</v>
      </c>
      <c r="D258" s="155" t="s">
        <v>216</v>
      </c>
      <c r="E258" s="155"/>
      <c r="F258" s="155"/>
      <c r="G258" s="155"/>
      <c r="H258" s="155"/>
      <c r="I258" s="155" t="s">
        <v>44</v>
      </c>
      <c r="J258" s="155" t="s">
        <v>44</v>
      </c>
      <c r="K258" s="159">
        <v>5</v>
      </c>
      <c r="L258" s="155" t="str">
        <f t="shared" si="6"/>
        <v/>
      </c>
      <c r="M258" s="155" t="s">
        <v>44</v>
      </c>
      <c r="N258" s="155" t="str">
        <f t="shared" si="7"/>
        <v/>
      </c>
      <c r="O258" s="155"/>
      <c r="P258" s="155" t="str">
        <f t="shared" si="8"/>
        <v/>
      </c>
      <c r="Q258" s="157"/>
    </row>
    <row r="259" spans="1:37" ht="15.75" customHeight="1" x14ac:dyDescent="0.3">
      <c r="A259" s="34" t="str">
        <f t="shared" si="32"/>
        <v/>
      </c>
      <c r="B259" s="19"/>
      <c r="C259" s="19"/>
      <c r="D259" s="160" t="s">
        <v>217</v>
      </c>
      <c r="E259" s="21"/>
      <c r="F259" s="22"/>
      <c r="G259" s="21"/>
      <c r="H259" s="19"/>
      <c r="I259" s="23" t="s">
        <v>44</v>
      </c>
      <c r="J259" s="23" t="s">
        <v>44</v>
      </c>
      <c r="K259" s="23" t="str">
        <f>IF(H259&lt;&gt;"",(J259/8/$K$26),"")</f>
        <v/>
      </c>
      <c r="L259" s="23" t="str">
        <f t="shared" si="6"/>
        <v/>
      </c>
      <c r="M259" s="23" t="s">
        <v>44</v>
      </c>
      <c r="N259" s="24" t="str">
        <f t="shared" si="7"/>
        <v/>
      </c>
      <c r="O259" s="24"/>
      <c r="P259" s="24" t="str">
        <f t="shared" si="8"/>
        <v/>
      </c>
      <c r="Q259" s="25"/>
      <c r="R259" s="17"/>
      <c r="S259" s="17"/>
      <c r="T259" s="17"/>
      <c r="U259" s="17"/>
      <c r="V259" s="17"/>
      <c r="W259" s="17"/>
      <c r="X259" s="17"/>
      <c r="Y259" s="17"/>
      <c r="Z259" s="17"/>
      <c r="AA259" s="17"/>
      <c r="AB259" s="17"/>
      <c r="AC259" s="17"/>
      <c r="AD259" s="17"/>
      <c r="AE259" s="17"/>
      <c r="AF259" s="17"/>
      <c r="AG259" s="17"/>
      <c r="AH259" s="17"/>
      <c r="AI259" s="17"/>
      <c r="AJ259" s="17"/>
      <c r="AK259" s="17"/>
    </row>
    <row r="260" spans="1:37" ht="15.75" customHeight="1" x14ac:dyDescent="0.3">
      <c r="A260" s="18">
        <f t="shared" si="32"/>
        <v>159</v>
      </c>
      <c r="B260" s="19" t="s">
        <v>39</v>
      </c>
      <c r="C260" s="19"/>
      <c r="D260" s="20" t="s">
        <v>218</v>
      </c>
      <c r="E260" s="21">
        <v>12</v>
      </c>
      <c r="F260" s="22">
        <v>0</v>
      </c>
      <c r="G260" s="21">
        <f t="shared" ref="G260:G273" si="93">E260+(E260*F260)</f>
        <v>12</v>
      </c>
      <c r="H260" s="19" t="s">
        <v>41</v>
      </c>
      <c r="I260" s="23">
        <v>106.25</v>
      </c>
      <c r="J260" s="23">
        <v>27.717391304347824</v>
      </c>
      <c r="K260" s="23">
        <f t="shared" ref="K260:K273" si="94">IF(H260&lt;&gt;"",(J260/8/$K$258),"")</f>
        <v>0.69293478260869557</v>
      </c>
      <c r="L260" s="23">
        <f t="shared" si="6"/>
        <v>46</v>
      </c>
      <c r="M260" s="23">
        <v>318.75</v>
      </c>
      <c r="N260" s="24">
        <f t="shared" si="7"/>
        <v>1275</v>
      </c>
      <c r="O260" s="24">
        <f t="shared" ref="O260:O273" si="95">M260*G260</f>
        <v>3825</v>
      </c>
      <c r="P260" s="24">
        <f t="shared" si="8"/>
        <v>5100</v>
      </c>
      <c r="Q260" s="25"/>
      <c r="R260" s="17"/>
      <c r="S260" s="17"/>
      <c r="T260" s="17"/>
      <c r="U260" s="17"/>
      <c r="V260" s="17"/>
      <c r="W260" s="17"/>
      <c r="X260" s="17"/>
      <c r="Y260" s="17"/>
      <c r="Z260" s="17"/>
      <c r="AA260" s="17"/>
      <c r="AB260" s="17"/>
      <c r="AC260" s="17"/>
      <c r="AD260" s="17"/>
      <c r="AE260" s="17"/>
      <c r="AF260" s="17"/>
      <c r="AG260" s="17"/>
      <c r="AH260" s="17"/>
      <c r="AI260" s="17"/>
      <c r="AJ260" s="17"/>
      <c r="AK260" s="17"/>
    </row>
    <row r="261" spans="1:37" ht="15.75" customHeight="1" x14ac:dyDescent="0.3">
      <c r="A261" s="18">
        <f t="shared" si="32"/>
        <v>160</v>
      </c>
      <c r="B261" s="19" t="s">
        <v>39</v>
      </c>
      <c r="C261" s="19"/>
      <c r="D261" s="20" t="s">
        <v>219</v>
      </c>
      <c r="E261" s="21">
        <v>48</v>
      </c>
      <c r="F261" s="22">
        <v>0</v>
      </c>
      <c r="G261" s="21">
        <f t="shared" si="93"/>
        <v>48</v>
      </c>
      <c r="H261" s="19" t="s">
        <v>41</v>
      </c>
      <c r="I261" s="23">
        <v>11.25</v>
      </c>
      <c r="J261" s="23">
        <v>11.739130434782609</v>
      </c>
      <c r="K261" s="23">
        <f t="shared" si="94"/>
        <v>0.29347826086956524</v>
      </c>
      <c r="L261" s="23">
        <f t="shared" si="6"/>
        <v>46</v>
      </c>
      <c r="M261" s="23">
        <v>33.75</v>
      </c>
      <c r="N261" s="24">
        <f t="shared" si="7"/>
        <v>540</v>
      </c>
      <c r="O261" s="24">
        <f t="shared" si="95"/>
        <v>1620</v>
      </c>
      <c r="P261" s="24">
        <f t="shared" si="8"/>
        <v>2160</v>
      </c>
      <c r="Q261" s="25"/>
      <c r="R261" s="17"/>
      <c r="S261" s="17"/>
      <c r="T261" s="17"/>
      <c r="U261" s="17"/>
      <c r="V261" s="17"/>
      <c r="W261" s="17"/>
      <c r="X261" s="17"/>
      <c r="Y261" s="17"/>
      <c r="Z261" s="17"/>
      <c r="AA261" s="17"/>
      <c r="AB261" s="17"/>
      <c r="AC261" s="17"/>
      <c r="AD261" s="17"/>
      <c r="AE261" s="17"/>
      <c r="AF261" s="17"/>
      <c r="AG261" s="17"/>
      <c r="AH261" s="17"/>
      <c r="AI261" s="17"/>
      <c r="AJ261" s="17"/>
      <c r="AK261" s="17"/>
    </row>
    <row r="262" spans="1:37" ht="15.75" customHeight="1" x14ac:dyDescent="0.3">
      <c r="A262" s="18">
        <f t="shared" si="32"/>
        <v>161</v>
      </c>
      <c r="B262" s="19" t="s">
        <v>39</v>
      </c>
      <c r="C262" s="19"/>
      <c r="D262" s="20" t="s">
        <v>220</v>
      </c>
      <c r="E262" s="21">
        <v>47</v>
      </c>
      <c r="F262" s="22">
        <v>0</v>
      </c>
      <c r="G262" s="21">
        <f t="shared" si="93"/>
        <v>47</v>
      </c>
      <c r="H262" s="19" t="s">
        <v>41</v>
      </c>
      <c r="I262" s="23">
        <v>8.75</v>
      </c>
      <c r="J262" s="23">
        <v>8.9402173913043477</v>
      </c>
      <c r="K262" s="23">
        <f t="shared" si="94"/>
        <v>0.2235054347826087</v>
      </c>
      <c r="L262" s="23">
        <f t="shared" si="6"/>
        <v>46</v>
      </c>
      <c r="M262" s="23">
        <v>26.25</v>
      </c>
      <c r="N262" s="24">
        <f t="shared" si="7"/>
        <v>411.25</v>
      </c>
      <c r="O262" s="24">
        <f t="shared" si="95"/>
        <v>1233.75</v>
      </c>
      <c r="P262" s="24">
        <f t="shared" si="8"/>
        <v>1645</v>
      </c>
      <c r="Q262" s="25"/>
      <c r="R262" s="17"/>
      <c r="S262" s="17"/>
      <c r="T262" s="17"/>
      <c r="U262" s="17"/>
      <c r="V262" s="17"/>
      <c r="W262" s="17"/>
      <c r="X262" s="17"/>
      <c r="Y262" s="17"/>
      <c r="Z262" s="17"/>
      <c r="AA262" s="17"/>
      <c r="AB262" s="17"/>
      <c r="AC262" s="17"/>
      <c r="AD262" s="17"/>
      <c r="AE262" s="17"/>
      <c r="AF262" s="17"/>
      <c r="AG262" s="17"/>
      <c r="AH262" s="17"/>
      <c r="AI262" s="17"/>
      <c r="AJ262" s="17"/>
      <c r="AK262" s="17"/>
    </row>
    <row r="263" spans="1:37" ht="15.75" customHeight="1" x14ac:dyDescent="0.3">
      <c r="A263" s="18">
        <f t="shared" si="32"/>
        <v>162</v>
      </c>
      <c r="B263" s="19" t="s">
        <v>39</v>
      </c>
      <c r="C263" s="19"/>
      <c r="D263" s="20" t="s">
        <v>221</v>
      </c>
      <c r="E263" s="21">
        <v>2</v>
      </c>
      <c r="F263" s="22">
        <v>0</v>
      </c>
      <c r="G263" s="21">
        <f t="shared" si="93"/>
        <v>2</v>
      </c>
      <c r="H263" s="19" t="s">
        <v>41</v>
      </c>
      <c r="I263" s="23">
        <v>18.75</v>
      </c>
      <c r="J263" s="23">
        <v>0.81521739130434778</v>
      </c>
      <c r="K263" s="23">
        <f t="shared" si="94"/>
        <v>2.0380434782608696E-2</v>
      </c>
      <c r="L263" s="23">
        <f t="shared" si="6"/>
        <v>46</v>
      </c>
      <c r="M263" s="23">
        <v>56.25</v>
      </c>
      <c r="N263" s="24">
        <f t="shared" si="7"/>
        <v>37.5</v>
      </c>
      <c r="O263" s="24">
        <f t="shared" si="95"/>
        <v>112.5</v>
      </c>
      <c r="P263" s="24">
        <f t="shared" si="8"/>
        <v>150</v>
      </c>
      <c r="Q263" s="25"/>
      <c r="R263" s="17"/>
      <c r="S263" s="17"/>
      <c r="T263" s="17"/>
      <c r="U263" s="17"/>
      <c r="V263" s="17"/>
      <c r="W263" s="17"/>
      <c r="X263" s="17"/>
      <c r="Y263" s="17"/>
      <c r="Z263" s="17"/>
      <c r="AA263" s="17"/>
      <c r="AB263" s="17"/>
      <c r="AC263" s="17"/>
      <c r="AD263" s="17"/>
      <c r="AE263" s="17"/>
      <c r="AF263" s="17"/>
      <c r="AG263" s="17"/>
      <c r="AH263" s="17"/>
      <c r="AI263" s="17"/>
      <c r="AJ263" s="17"/>
      <c r="AK263" s="17"/>
    </row>
    <row r="264" spans="1:37" ht="15.75" customHeight="1" x14ac:dyDescent="0.3">
      <c r="A264" s="18">
        <f t="shared" si="32"/>
        <v>163</v>
      </c>
      <c r="B264" s="19" t="s">
        <v>39</v>
      </c>
      <c r="C264" s="19"/>
      <c r="D264" s="20" t="s">
        <v>222</v>
      </c>
      <c r="E264" s="21">
        <v>2</v>
      </c>
      <c r="F264" s="22">
        <v>0</v>
      </c>
      <c r="G264" s="21">
        <f t="shared" si="93"/>
        <v>2</v>
      </c>
      <c r="H264" s="19" t="s">
        <v>41</v>
      </c>
      <c r="I264" s="23">
        <v>27.5</v>
      </c>
      <c r="J264" s="23">
        <v>1.1956521739130435</v>
      </c>
      <c r="K264" s="23">
        <f t="shared" si="94"/>
        <v>2.9891304347826088E-2</v>
      </c>
      <c r="L264" s="23">
        <f t="shared" si="6"/>
        <v>46</v>
      </c>
      <c r="M264" s="23">
        <v>82.5</v>
      </c>
      <c r="N264" s="24">
        <f t="shared" si="7"/>
        <v>55</v>
      </c>
      <c r="O264" s="24">
        <f t="shared" si="95"/>
        <v>165</v>
      </c>
      <c r="P264" s="24">
        <f t="shared" si="8"/>
        <v>220</v>
      </c>
      <c r="Q264" s="25"/>
      <c r="R264" s="17"/>
      <c r="S264" s="17"/>
      <c r="T264" s="17"/>
      <c r="U264" s="17"/>
      <c r="V264" s="17"/>
      <c r="W264" s="17"/>
      <c r="X264" s="17"/>
      <c r="Y264" s="17"/>
      <c r="Z264" s="17"/>
      <c r="AA264" s="17"/>
      <c r="AB264" s="17"/>
      <c r="AC264" s="17"/>
      <c r="AD264" s="17"/>
      <c r="AE264" s="17"/>
      <c r="AF264" s="17"/>
      <c r="AG264" s="17"/>
      <c r="AH264" s="17"/>
      <c r="AI264" s="17"/>
      <c r="AJ264" s="17"/>
      <c r="AK264" s="17"/>
    </row>
    <row r="265" spans="1:37" ht="15.75" customHeight="1" x14ac:dyDescent="0.3">
      <c r="A265" s="18">
        <f t="shared" si="32"/>
        <v>164</v>
      </c>
      <c r="B265" s="19" t="s">
        <v>39</v>
      </c>
      <c r="C265" s="19"/>
      <c r="D265" s="20" t="s">
        <v>223</v>
      </c>
      <c r="E265" s="21">
        <v>1</v>
      </c>
      <c r="F265" s="22">
        <v>0</v>
      </c>
      <c r="G265" s="21">
        <f t="shared" si="93"/>
        <v>1</v>
      </c>
      <c r="H265" s="19" t="s">
        <v>41</v>
      </c>
      <c r="I265" s="23">
        <v>27.5</v>
      </c>
      <c r="J265" s="23">
        <v>0.59782608695652173</v>
      </c>
      <c r="K265" s="23">
        <f t="shared" si="94"/>
        <v>1.4945652173913044E-2</v>
      </c>
      <c r="L265" s="23">
        <f t="shared" si="6"/>
        <v>46</v>
      </c>
      <c r="M265" s="23">
        <v>82.5</v>
      </c>
      <c r="N265" s="24">
        <f t="shared" si="7"/>
        <v>27.5</v>
      </c>
      <c r="O265" s="24">
        <f t="shared" si="95"/>
        <v>82.5</v>
      </c>
      <c r="P265" s="24">
        <f t="shared" si="8"/>
        <v>110</v>
      </c>
      <c r="Q265" s="25"/>
      <c r="R265" s="17"/>
      <c r="S265" s="17"/>
      <c r="T265" s="17"/>
      <c r="U265" s="17"/>
      <c r="V265" s="17"/>
      <c r="W265" s="17"/>
      <c r="X265" s="17"/>
      <c r="Y265" s="17"/>
      <c r="Z265" s="17"/>
      <c r="AA265" s="17"/>
      <c r="AB265" s="17"/>
      <c r="AC265" s="17"/>
      <c r="AD265" s="17"/>
      <c r="AE265" s="17"/>
      <c r="AF265" s="17"/>
      <c r="AG265" s="17"/>
      <c r="AH265" s="17"/>
      <c r="AI265" s="17"/>
      <c r="AJ265" s="17"/>
      <c r="AK265" s="17"/>
    </row>
    <row r="266" spans="1:37" ht="15.75" customHeight="1" x14ac:dyDescent="0.3">
      <c r="A266" s="18">
        <f t="shared" si="32"/>
        <v>165</v>
      </c>
      <c r="B266" s="19" t="s">
        <v>39</v>
      </c>
      <c r="C266" s="19"/>
      <c r="D266" s="20" t="s">
        <v>224</v>
      </c>
      <c r="E266" s="21">
        <v>9</v>
      </c>
      <c r="F266" s="22">
        <v>0</v>
      </c>
      <c r="G266" s="21">
        <f t="shared" si="93"/>
        <v>9</v>
      </c>
      <c r="H266" s="19" t="s">
        <v>41</v>
      </c>
      <c r="I266" s="23">
        <v>348</v>
      </c>
      <c r="J266" s="23">
        <v>68.086956521739125</v>
      </c>
      <c r="K266" s="23">
        <f t="shared" si="94"/>
        <v>1.7021739130434781</v>
      </c>
      <c r="L266" s="23">
        <f t="shared" si="6"/>
        <v>46</v>
      </c>
      <c r="M266" s="23">
        <v>1102</v>
      </c>
      <c r="N266" s="24">
        <f t="shared" si="7"/>
        <v>3132</v>
      </c>
      <c r="O266" s="24">
        <f t="shared" si="95"/>
        <v>9918</v>
      </c>
      <c r="P266" s="24">
        <f t="shared" si="8"/>
        <v>13050</v>
      </c>
      <c r="Q266" s="25"/>
      <c r="R266" s="17"/>
      <c r="S266" s="17"/>
      <c r="T266" s="17"/>
      <c r="U266" s="17"/>
      <c r="V266" s="17"/>
      <c r="W266" s="17"/>
      <c r="X266" s="17"/>
      <c r="Y266" s="17"/>
      <c r="Z266" s="17"/>
      <c r="AA266" s="17"/>
      <c r="AB266" s="17"/>
      <c r="AC266" s="17"/>
      <c r="AD266" s="17"/>
      <c r="AE266" s="17"/>
      <c r="AF266" s="17"/>
      <c r="AG266" s="17"/>
      <c r="AH266" s="17"/>
      <c r="AI266" s="17"/>
      <c r="AJ266" s="17"/>
      <c r="AK266" s="17"/>
    </row>
    <row r="267" spans="1:37" ht="15.75" customHeight="1" x14ac:dyDescent="0.3">
      <c r="A267" s="18">
        <f t="shared" si="32"/>
        <v>166</v>
      </c>
      <c r="B267" s="19" t="s">
        <v>39</v>
      </c>
      <c r="C267" s="19"/>
      <c r="D267" s="20" t="s">
        <v>225</v>
      </c>
      <c r="E267" s="21">
        <v>269.66000000000003</v>
      </c>
      <c r="F267" s="22">
        <v>0.1</v>
      </c>
      <c r="G267" s="21">
        <f t="shared" si="93"/>
        <v>296.62600000000003</v>
      </c>
      <c r="H267" s="19" t="s">
        <v>43</v>
      </c>
      <c r="I267" s="23">
        <v>11.200000000000001</v>
      </c>
      <c r="J267" s="23">
        <v>72.221982608695669</v>
      </c>
      <c r="K267" s="23">
        <f t="shared" si="94"/>
        <v>1.8055495652173916</v>
      </c>
      <c r="L267" s="23">
        <f t="shared" si="6"/>
        <v>46</v>
      </c>
      <c r="M267" s="23">
        <v>16.799999999999997</v>
      </c>
      <c r="N267" s="24">
        <f t="shared" si="7"/>
        <v>3322.2112000000006</v>
      </c>
      <c r="O267" s="24">
        <f t="shared" si="95"/>
        <v>4983.3167999999996</v>
      </c>
      <c r="P267" s="24">
        <f t="shared" si="8"/>
        <v>8305.5280000000002</v>
      </c>
      <c r="Q267" s="25"/>
      <c r="R267" s="17"/>
      <c r="S267" s="17"/>
      <c r="T267" s="17"/>
      <c r="U267" s="17"/>
      <c r="V267" s="17"/>
      <c r="W267" s="17"/>
      <c r="X267" s="17"/>
      <c r="Y267" s="17"/>
      <c r="Z267" s="17"/>
      <c r="AA267" s="17"/>
      <c r="AB267" s="17"/>
      <c r="AC267" s="17"/>
      <c r="AD267" s="17"/>
      <c r="AE267" s="17"/>
      <c r="AF267" s="17"/>
      <c r="AG267" s="17"/>
      <c r="AH267" s="17"/>
      <c r="AI267" s="17"/>
      <c r="AJ267" s="17"/>
      <c r="AK267" s="17"/>
    </row>
    <row r="268" spans="1:37" ht="15.75" customHeight="1" x14ac:dyDescent="0.3">
      <c r="A268" s="18">
        <f t="shared" si="32"/>
        <v>167</v>
      </c>
      <c r="B268" s="19" t="s">
        <v>39</v>
      </c>
      <c r="C268" s="19"/>
      <c r="D268" s="20" t="s">
        <v>226</v>
      </c>
      <c r="E268" s="21">
        <v>74.319999999999993</v>
      </c>
      <c r="F268" s="22">
        <v>0.1</v>
      </c>
      <c r="G268" s="21">
        <f t="shared" si="93"/>
        <v>81.751999999999995</v>
      </c>
      <c r="H268" s="19" t="s">
        <v>43</v>
      </c>
      <c r="I268" s="23">
        <v>26</v>
      </c>
      <c r="J268" s="23">
        <v>46.20765217391304</v>
      </c>
      <c r="K268" s="23">
        <f t="shared" si="94"/>
        <v>1.1551913043478259</v>
      </c>
      <c r="L268" s="23">
        <f t="shared" si="6"/>
        <v>46</v>
      </c>
      <c r="M268" s="23">
        <v>39</v>
      </c>
      <c r="N268" s="24">
        <f t="shared" si="7"/>
        <v>2125.5519999999997</v>
      </c>
      <c r="O268" s="24">
        <f t="shared" si="95"/>
        <v>3188.328</v>
      </c>
      <c r="P268" s="24">
        <f t="shared" si="8"/>
        <v>5313.8799999999992</v>
      </c>
      <c r="Q268" s="25"/>
      <c r="R268" s="17"/>
      <c r="S268" s="17"/>
      <c r="T268" s="17"/>
      <c r="U268" s="17"/>
      <c r="V268" s="17"/>
      <c r="W268" s="17"/>
      <c r="X268" s="17"/>
      <c r="Y268" s="17"/>
      <c r="Z268" s="17"/>
      <c r="AA268" s="17"/>
      <c r="AB268" s="17"/>
      <c r="AC268" s="17"/>
      <c r="AD268" s="17"/>
      <c r="AE268" s="17"/>
      <c r="AF268" s="17"/>
      <c r="AG268" s="17"/>
      <c r="AH268" s="17"/>
      <c r="AI268" s="17"/>
      <c r="AJ268" s="17"/>
      <c r="AK268" s="17"/>
    </row>
    <row r="269" spans="1:37" ht="15.75" customHeight="1" x14ac:dyDescent="0.3">
      <c r="A269" s="18">
        <f t="shared" si="32"/>
        <v>168</v>
      </c>
      <c r="B269" s="19" t="s">
        <v>39</v>
      </c>
      <c r="C269" s="19"/>
      <c r="D269" s="20" t="s">
        <v>227</v>
      </c>
      <c r="E269" s="21">
        <v>396.24</v>
      </c>
      <c r="F269" s="22">
        <v>0.1</v>
      </c>
      <c r="G269" s="21">
        <f t="shared" si="93"/>
        <v>435.86400000000003</v>
      </c>
      <c r="H269" s="19" t="s">
        <v>43</v>
      </c>
      <c r="I269" s="23">
        <v>7.120000000000001</v>
      </c>
      <c r="J269" s="23">
        <v>67.464166956521751</v>
      </c>
      <c r="K269" s="23">
        <f t="shared" si="94"/>
        <v>1.6866041739130437</v>
      </c>
      <c r="L269" s="23">
        <f t="shared" si="6"/>
        <v>46</v>
      </c>
      <c r="M269" s="23">
        <v>10.68</v>
      </c>
      <c r="N269" s="24">
        <f t="shared" si="7"/>
        <v>3103.3516800000007</v>
      </c>
      <c r="O269" s="24">
        <f t="shared" si="95"/>
        <v>4655.0275200000005</v>
      </c>
      <c r="P269" s="24">
        <f t="shared" si="8"/>
        <v>7758.3792000000012</v>
      </c>
      <c r="Q269" s="25"/>
      <c r="R269" s="17"/>
      <c r="S269" s="17"/>
      <c r="T269" s="17"/>
      <c r="U269" s="17"/>
      <c r="V269" s="17"/>
      <c r="W269" s="17"/>
      <c r="X269" s="17"/>
      <c r="Y269" s="17"/>
      <c r="Z269" s="17"/>
      <c r="AA269" s="17"/>
      <c r="AB269" s="17"/>
      <c r="AC269" s="17"/>
      <c r="AD269" s="17"/>
      <c r="AE269" s="17"/>
      <c r="AF269" s="17"/>
      <c r="AG269" s="17"/>
      <c r="AH269" s="17"/>
      <c r="AI269" s="17"/>
      <c r="AJ269" s="17"/>
      <c r="AK269" s="17"/>
    </row>
    <row r="270" spans="1:37" ht="15.75" customHeight="1" x14ac:dyDescent="0.3">
      <c r="A270" s="18">
        <f t="shared" si="32"/>
        <v>169</v>
      </c>
      <c r="B270" s="19" t="s">
        <v>39</v>
      </c>
      <c r="C270" s="19"/>
      <c r="D270" s="20" t="s">
        <v>228</v>
      </c>
      <c r="E270" s="21">
        <v>28.31</v>
      </c>
      <c r="F270" s="22">
        <v>0.1</v>
      </c>
      <c r="G270" s="21">
        <f t="shared" si="93"/>
        <v>31.140999999999998</v>
      </c>
      <c r="H270" s="19" t="s">
        <v>43</v>
      </c>
      <c r="I270" s="23">
        <v>4.6000000000000005</v>
      </c>
      <c r="J270" s="23">
        <v>3.1141000000000001</v>
      </c>
      <c r="K270" s="23">
        <f t="shared" si="94"/>
        <v>7.7852500000000005E-2</v>
      </c>
      <c r="L270" s="23">
        <f t="shared" si="6"/>
        <v>46</v>
      </c>
      <c r="M270" s="23">
        <v>6.8999999999999995</v>
      </c>
      <c r="N270" s="24">
        <f t="shared" si="7"/>
        <v>143.24860000000001</v>
      </c>
      <c r="O270" s="24">
        <f t="shared" si="95"/>
        <v>214.87289999999996</v>
      </c>
      <c r="P270" s="24">
        <f t="shared" si="8"/>
        <v>358.12149999999997</v>
      </c>
      <c r="Q270" s="25"/>
      <c r="R270" s="17"/>
      <c r="S270" s="17"/>
      <c r="T270" s="17"/>
      <c r="U270" s="17"/>
      <c r="V270" s="17"/>
      <c r="W270" s="17"/>
      <c r="X270" s="17"/>
      <c r="Y270" s="17"/>
      <c r="Z270" s="17"/>
      <c r="AA270" s="17"/>
      <c r="AB270" s="17"/>
      <c r="AC270" s="17"/>
      <c r="AD270" s="17"/>
      <c r="AE270" s="17"/>
      <c r="AF270" s="17"/>
      <c r="AG270" s="17"/>
      <c r="AH270" s="17"/>
      <c r="AI270" s="17"/>
      <c r="AJ270" s="17"/>
      <c r="AK270" s="17"/>
    </row>
    <row r="271" spans="1:37" ht="15.75" customHeight="1" x14ac:dyDescent="0.3">
      <c r="A271" s="18">
        <f t="shared" si="32"/>
        <v>170</v>
      </c>
      <c r="B271" s="19" t="s">
        <v>39</v>
      </c>
      <c r="C271" s="19"/>
      <c r="D271" s="20" t="s">
        <v>229</v>
      </c>
      <c r="E271" s="21">
        <v>546.26</v>
      </c>
      <c r="F271" s="22">
        <v>0.1</v>
      </c>
      <c r="G271" s="21">
        <f t="shared" si="93"/>
        <v>600.88599999999997</v>
      </c>
      <c r="H271" s="19" t="s">
        <v>43</v>
      </c>
      <c r="I271" s="23">
        <v>4.8000000000000007</v>
      </c>
      <c r="J271" s="23">
        <v>62.701147826086959</v>
      </c>
      <c r="K271" s="23">
        <f t="shared" si="94"/>
        <v>1.5675286956521739</v>
      </c>
      <c r="L271" s="23">
        <f t="shared" si="6"/>
        <v>46</v>
      </c>
      <c r="M271" s="23">
        <v>7.1999999999999993</v>
      </c>
      <c r="N271" s="24">
        <f t="shared" si="7"/>
        <v>2884.2528000000002</v>
      </c>
      <c r="O271" s="24">
        <f t="shared" si="95"/>
        <v>4326.3791999999994</v>
      </c>
      <c r="P271" s="24">
        <f t="shared" si="8"/>
        <v>7210.6319999999996</v>
      </c>
      <c r="Q271" s="25"/>
      <c r="R271" s="17"/>
      <c r="S271" s="17"/>
      <c r="T271" s="17"/>
      <c r="U271" s="17"/>
      <c r="V271" s="17"/>
      <c r="W271" s="17"/>
      <c r="X271" s="17"/>
      <c r="Y271" s="17"/>
      <c r="Z271" s="17"/>
      <c r="AA271" s="17"/>
      <c r="AB271" s="17"/>
      <c r="AC271" s="17"/>
      <c r="AD271" s="17"/>
      <c r="AE271" s="17"/>
      <c r="AF271" s="17"/>
      <c r="AG271" s="17"/>
      <c r="AH271" s="17"/>
      <c r="AI271" s="17"/>
      <c r="AJ271" s="17"/>
      <c r="AK271" s="17"/>
    </row>
    <row r="272" spans="1:37" ht="15.75" customHeight="1" x14ac:dyDescent="0.3">
      <c r="A272" s="18">
        <f t="shared" si="32"/>
        <v>171</v>
      </c>
      <c r="B272" s="19" t="s">
        <v>39</v>
      </c>
      <c r="C272" s="19"/>
      <c r="D272" s="20" t="s">
        <v>230</v>
      </c>
      <c r="E272" s="21">
        <v>15.67</v>
      </c>
      <c r="F272" s="22">
        <v>0.1</v>
      </c>
      <c r="G272" s="21">
        <f t="shared" si="93"/>
        <v>17.237000000000002</v>
      </c>
      <c r="H272" s="19" t="s">
        <v>43</v>
      </c>
      <c r="I272" s="23">
        <v>4.4000000000000004</v>
      </c>
      <c r="J272" s="23">
        <v>1.6487565217391307</v>
      </c>
      <c r="K272" s="23">
        <f t="shared" si="94"/>
        <v>4.1218913043478266E-2</v>
      </c>
      <c r="L272" s="23">
        <f t="shared" si="6"/>
        <v>46</v>
      </c>
      <c r="M272" s="23">
        <v>6.6</v>
      </c>
      <c r="N272" s="24">
        <f t="shared" si="7"/>
        <v>75.842800000000011</v>
      </c>
      <c r="O272" s="24">
        <f t="shared" si="95"/>
        <v>113.7642</v>
      </c>
      <c r="P272" s="24">
        <f t="shared" si="8"/>
        <v>189.60700000000003</v>
      </c>
      <c r="Q272" s="25"/>
      <c r="R272" s="17"/>
      <c r="S272" s="17"/>
      <c r="T272" s="17"/>
      <c r="U272" s="17"/>
      <c r="V272" s="17"/>
      <c r="W272" s="17"/>
      <c r="X272" s="17"/>
      <c r="Y272" s="17"/>
      <c r="Z272" s="17"/>
      <c r="AA272" s="17"/>
      <c r="AB272" s="17"/>
      <c r="AC272" s="17"/>
      <c r="AD272" s="17"/>
      <c r="AE272" s="17"/>
      <c r="AF272" s="17"/>
      <c r="AG272" s="17"/>
      <c r="AH272" s="17"/>
      <c r="AI272" s="17"/>
      <c r="AJ272" s="17"/>
      <c r="AK272" s="17"/>
    </row>
    <row r="273" spans="1:37" ht="15.75" customHeight="1" x14ac:dyDescent="0.3">
      <c r="A273" s="18">
        <f t="shared" si="32"/>
        <v>172</v>
      </c>
      <c r="B273" s="19" t="s">
        <v>39</v>
      </c>
      <c r="C273" s="19"/>
      <c r="D273" s="20" t="s">
        <v>231</v>
      </c>
      <c r="E273" s="21">
        <v>194.97</v>
      </c>
      <c r="F273" s="22">
        <v>0.1</v>
      </c>
      <c r="G273" s="21">
        <f t="shared" si="93"/>
        <v>214.46699999999998</v>
      </c>
      <c r="H273" s="19" t="s">
        <v>53</v>
      </c>
      <c r="I273" s="23">
        <v>0.6080000000000001</v>
      </c>
      <c r="J273" s="23">
        <v>2.8346942608695653</v>
      </c>
      <c r="K273" s="23">
        <f t="shared" si="94"/>
        <v>7.086735652173913E-2</v>
      </c>
      <c r="L273" s="23">
        <f t="shared" si="6"/>
        <v>46</v>
      </c>
      <c r="M273" s="23">
        <v>2.5920000000000001</v>
      </c>
      <c r="N273" s="24">
        <f t="shared" si="7"/>
        <v>130.39593600000001</v>
      </c>
      <c r="O273" s="24">
        <f t="shared" si="95"/>
        <v>555.89846399999999</v>
      </c>
      <c r="P273" s="24">
        <f t="shared" si="8"/>
        <v>686.2944</v>
      </c>
      <c r="Q273" s="25"/>
      <c r="R273" s="17"/>
      <c r="S273" s="17"/>
      <c r="T273" s="17"/>
      <c r="U273" s="17"/>
      <c r="V273" s="17"/>
      <c r="W273" s="17"/>
      <c r="X273" s="17"/>
      <c r="Y273" s="17"/>
      <c r="Z273" s="17"/>
      <c r="AA273" s="17"/>
      <c r="AB273" s="17"/>
      <c r="AC273" s="17"/>
      <c r="AD273" s="17"/>
      <c r="AE273" s="17"/>
      <c r="AF273" s="17"/>
      <c r="AG273" s="17"/>
      <c r="AH273" s="17"/>
      <c r="AI273" s="17"/>
      <c r="AJ273" s="17"/>
      <c r="AK273" s="17"/>
    </row>
    <row r="274" spans="1:37" ht="15.75" customHeight="1" x14ac:dyDescent="0.3">
      <c r="A274" s="18" t="str">
        <f t="shared" si="32"/>
        <v/>
      </c>
      <c r="B274" s="19"/>
      <c r="C274" s="19"/>
      <c r="D274" s="38"/>
      <c r="E274" s="21"/>
      <c r="F274" s="22"/>
      <c r="G274" s="21"/>
      <c r="H274" s="19"/>
      <c r="I274" s="23"/>
      <c r="J274" s="23"/>
      <c r="K274" s="23"/>
      <c r="L274" s="23"/>
      <c r="M274" s="23"/>
      <c r="N274" s="24" t="str">
        <f t="shared" ref="N274:N275" si="96">IF(H274&lt;&gt;"",I274+M274,"")</f>
        <v/>
      </c>
      <c r="O274" s="24"/>
      <c r="P274" s="24" t="str">
        <f t="shared" ref="P274:P275" si="97">IF(H274&lt;&gt;"",N274*G274,"")</f>
        <v/>
      </c>
      <c r="Q274" s="25"/>
      <c r="R274" s="17"/>
      <c r="S274" s="17"/>
      <c r="T274" s="17"/>
      <c r="U274" s="17"/>
      <c r="V274" s="17"/>
      <c r="W274" s="17"/>
      <c r="X274" s="17"/>
      <c r="Y274" s="17"/>
      <c r="Z274" s="17"/>
      <c r="AA274" s="17"/>
      <c r="AB274" s="17"/>
      <c r="AC274" s="17"/>
      <c r="AD274" s="17"/>
      <c r="AE274" s="17"/>
      <c r="AF274" s="17"/>
      <c r="AG274" s="17"/>
      <c r="AH274" s="17"/>
      <c r="AI274" s="17"/>
      <c r="AJ274" s="17"/>
      <c r="AK274" s="17"/>
    </row>
    <row r="275" spans="1:37" ht="15.75" customHeight="1" x14ac:dyDescent="0.3">
      <c r="A275" s="34" t="str">
        <f t="shared" si="32"/>
        <v/>
      </c>
      <c r="B275" s="19"/>
      <c r="C275" s="19"/>
      <c r="D275" s="26" t="s">
        <v>35</v>
      </c>
      <c r="E275" s="27"/>
      <c r="F275" s="28"/>
      <c r="G275" s="27"/>
      <c r="H275" s="29"/>
      <c r="I275" s="30"/>
      <c r="J275" s="30"/>
      <c r="K275" s="30"/>
      <c r="L275" s="30"/>
      <c r="M275" s="30"/>
      <c r="N275" s="31" t="str">
        <f t="shared" si="96"/>
        <v/>
      </c>
      <c r="O275" s="31"/>
      <c r="P275" s="32" t="str">
        <f t="shared" si="97"/>
        <v/>
      </c>
      <c r="Q275" s="33">
        <f>SUM(P259:P274)</f>
        <v>52257.4421</v>
      </c>
      <c r="R275" s="17"/>
      <c r="S275" s="17"/>
      <c r="T275" s="17"/>
      <c r="U275" s="17"/>
      <c r="V275" s="17"/>
      <c r="W275" s="17"/>
      <c r="X275" s="17"/>
      <c r="Y275" s="17"/>
      <c r="Z275" s="17"/>
      <c r="AA275" s="17"/>
      <c r="AB275" s="17"/>
      <c r="AC275" s="17"/>
      <c r="AD275" s="17"/>
      <c r="AE275" s="17"/>
      <c r="AF275" s="17"/>
      <c r="AG275" s="17"/>
      <c r="AH275" s="17"/>
      <c r="AI275" s="17"/>
      <c r="AJ275" s="17"/>
      <c r="AK275" s="17"/>
    </row>
    <row r="276" spans="1:37" ht="15.75" customHeight="1" x14ac:dyDescent="0.3">
      <c r="A276" s="18"/>
      <c r="B276" s="19"/>
      <c r="C276" s="19"/>
      <c r="D276" s="38"/>
      <c r="E276" s="21"/>
      <c r="F276" s="22"/>
      <c r="G276" s="21"/>
      <c r="H276" s="19"/>
      <c r="I276" s="23"/>
      <c r="J276" s="23"/>
      <c r="K276" s="23"/>
      <c r="L276" s="23"/>
      <c r="M276" s="23"/>
      <c r="N276" s="24"/>
      <c r="O276" s="24"/>
      <c r="P276" s="24"/>
      <c r="Q276" s="25"/>
      <c r="R276" s="17"/>
      <c r="S276" s="17"/>
      <c r="T276" s="17"/>
      <c r="U276" s="17"/>
      <c r="V276" s="17"/>
      <c r="W276" s="17"/>
      <c r="X276" s="17"/>
      <c r="Y276" s="17"/>
      <c r="Z276" s="17"/>
      <c r="AA276" s="17"/>
      <c r="AB276" s="17"/>
      <c r="AC276" s="17"/>
      <c r="AD276" s="17"/>
      <c r="AE276" s="17"/>
      <c r="AF276" s="17"/>
      <c r="AG276" s="17"/>
      <c r="AH276" s="17"/>
      <c r="AI276" s="17"/>
      <c r="AJ276" s="17"/>
      <c r="AK276" s="17"/>
    </row>
    <row r="277" spans="1:37" s="166" customFormat="1" ht="15.75" customHeight="1" x14ac:dyDescent="0.3">
      <c r="A277" s="161" t="str">
        <f>IF(H277&lt;&gt;"",1+MAX($A$4:A275),"")</f>
        <v/>
      </c>
      <c r="B277" s="162"/>
      <c r="C277" s="163"/>
      <c r="D277" s="163" t="s">
        <v>232</v>
      </c>
      <c r="E277" s="163"/>
      <c r="F277" s="163"/>
      <c r="G277" s="163"/>
      <c r="H277" s="163"/>
      <c r="I277" s="164"/>
      <c r="J277" s="164"/>
      <c r="K277" s="164"/>
      <c r="L277" s="164"/>
      <c r="M277" s="164"/>
      <c r="N277" s="165"/>
      <c r="O277" s="165"/>
      <c r="P277" s="165">
        <f t="shared" ref="P277:Q277" si="98">SUM(P9:P275)</f>
        <v>5741963.9373037387</v>
      </c>
      <c r="Q277" s="165">
        <f t="shared" si="98"/>
        <v>5741963.9373037359</v>
      </c>
    </row>
    <row r="278" spans="1:37" s="166" customFormat="1" ht="15.75" customHeight="1" x14ac:dyDescent="0.3">
      <c r="A278" s="161" t="str">
        <f>IF(H278&lt;&gt;"",1+MAX($A$4:A277),"")</f>
        <v/>
      </c>
      <c r="B278" s="163"/>
      <c r="C278" s="163"/>
      <c r="D278" s="163" t="s">
        <v>233</v>
      </c>
      <c r="E278" s="163"/>
      <c r="F278" s="163"/>
      <c r="G278" s="163"/>
      <c r="H278" s="163"/>
      <c r="I278" s="164">
        <v>0.05</v>
      </c>
      <c r="J278" s="164"/>
      <c r="K278" s="164"/>
      <c r="L278" s="164"/>
      <c r="M278" s="164"/>
      <c r="N278" s="164"/>
      <c r="O278" s="164"/>
      <c r="P278" s="164"/>
      <c r="Q278" s="165">
        <f>Q277*I278</f>
        <v>287098.19686518679</v>
      </c>
    </row>
    <row r="279" spans="1:37" s="166" customFormat="1" ht="15.75" customHeight="1" x14ac:dyDescent="0.3">
      <c r="A279" s="161" t="str">
        <f>IF(H279&lt;&gt;"",1+MAX($A$4:A278),"")</f>
        <v/>
      </c>
      <c r="B279" s="163"/>
      <c r="C279" s="163"/>
      <c r="D279" s="163" t="s">
        <v>234</v>
      </c>
      <c r="E279" s="163"/>
      <c r="F279" s="163"/>
      <c r="G279" s="163"/>
      <c r="H279" s="163"/>
      <c r="I279" s="164">
        <v>0.1</v>
      </c>
      <c r="J279" s="164"/>
      <c r="K279" s="164"/>
      <c r="L279" s="164"/>
      <c r="M279" s="164"/>
      <c r="N279" s="164"/>
      <c r="O279" s="164"/>
      <c r="P279" s="164"/>
      <c r="Q279" s="165">
        <f>Q277*I279</f>
        <v>574196.39373037359</v>
      </c>
    </row>
    <row r="280" spans="1:37" s="166" customFormat="1" ht="15.75" customHeight="1" x14ac:dyDescent="0.3">
      <c r="A280" s="167" t="str">
        <f>IF(H280&lt;&gt;"",1+MAX($A$4:A279),"")</f>
        <v/>
      </c>
      <c r="B280" s="160"/>
      <c r="C280" s="160"/>
      <c r="D280" s="168" t="s">
        <v>235</v>
      </c>
      <c r="E280" s="168"/>
      <c r="F280" s="168"/>
      <c r="G280" s="168"/>
      <c r="H280" s="168"/>
      <c r="I280" s="169">
        <v>7.4999999999999997E-2</v>
      </c>
      <c r="J280" s="169"/>
      <c r="K280" s="169"/>
      <c r="L280" s="169"/>
      <c r="M280" s="169"/>
      <c r="N280" s="169"/>
      <c r="O280" s="169"/>
      <c r="P280" s="169"/>
      <c r="Q280" s="170">
        <f>Q277*I280</f>
        <v>430647.29529778019</v>
      </c>
    </row>
    <row r="281" spans="1:37" s="166" customFormat="1" ht="15.75" customHeight="1" x14ac:dyDescent="0.3">
      <c r="A281" s="171" t="str">
        <f>IF(H281&lt;&gt;"",1+MAX($A$4:A280),"")</f>
        <v/>
      </c>
      <c r="B281" s="172"/>
      <c r="C281" s="168"/>
      <c r="D281" s="160" t="s">
        <v>236</v>
      </c>
      <c r="E281" s="160"/>
      <c r="F281" s="160"/>
      <c r="G281" s="160"/>
      <c r="H281" s="160"/>
      <c r="I281" s="160">
        <v>1.0999999999999999E-2</v>
      </c>
      <c r="J281" s="173"/>
      <c r="K281" s="173"/>
      <c r="L281" s="173"/>
      <c r="M281" s="173"/>
      <c r="N281" s="173"/>
      <c r="O281" s="173"/>
      <c r="P281" s="173"/>
      <c r="Q281" s="174">
        <f>I281*Q277</f>
        <v>63161.603310341088</v>
      </c>
    </row>
    <row r="282" spans="1:37" s="166" customFormat="1" ht="15.75" customHeight="1" x14ac:dyDescent="0.3">
      <c r="A282" s="175" t="str">
        <f>IF(H282&lt;&gt;"",1+MAX($A$4:A281),"")</f>
        <v/>
      </c>
      <c r="B282" s="176"/>
      <c r="C282" s="177"/>
      <c r="D282" s="177" t="s">
        <v>237</v>
      </c>
      <c r="E282" s="177"/>
      <c r="F282" s="177"/>
      <c r="G282" s="177"/>
      <c r="H282" s="177"/>
      <c r="I282" s="178"/>
      <c r="J282" s="178"/>
      <c r="K282" s="178"/>
      <c r="L282" s="178"/>
      <c r="M282" s="178"/>
      <c r="N282" s="178"/>
      <c r="O282" s="178"/>
      <c r="P282" s="178"/>
      <c r="Q282" s="179">
        <f>SUM(Q277:Q281)</f>
        <v>7097067.426507418</v>
      </c>
    </row>
    <row r="283" spans="1:37" ht="15.75" customHeight="1" x14ac:dyDescent="0.3">
      <c r="A283" s="180"/>
      <c r="B283" s="181"/>
      <c r="C283" s="181"/>
      <c r="D283" s="181"/>
      <c r="E283" s="181"/>
      <c r="F283" s="181"/>
      <c r="G283" s="181"/>
      <c r="H283" s="181"/>
      <c r="I283" s="181"/>
      <c r="J283" s="181"/>
      <c r="K283" s="181"/>
      <c r="L283" s="181"/>
      <c r="M283" s="181"/>
      <c r="N283" s="181"/>
      <c r="O283" s="181"/>
      <c r="P283" s="181"/>
      <c r="Q283" s="182"/>
      <c r="R283" s="17"/>
      <c r="S283" s="17"/>
      <c r="T283" s="17"/>
      <c r="U283" s="17"/>
      <c r="V283" s="17"/>
      <c r="W283" s="17"/>
      <c r="X283" s="17"/>
      <c r="Y283" s="17"/>
      <c r="Z283" s="17"/>
      <c r="AA283" s="17"/>
      <c r="AB283" s="17"/>
      <c r="AC283" s="17"/>
      <c r="AD283" s="17"/>
      <c r="AE283" s="17"/>
      <c r="AF283" s="17"/>
      <c r="AG283" s="17"/>
      <c r="AH283" s="17"/>
      <c r="AI283" s="17"/>
      <c r="AJ283" s="17"/>
      <c r="AK283" s="17"/>
    </row>
    <row r="284" spans="1:37" ht="15.75" customHeight="1" x14ac:dyDescent="0.3">
      <c r="A284" s="180" t="s">
        <v>238</v>
      </c>
      <c r="B284" s="181"/>
      <c r="C284" s="181"/>
      <c r="D284" s="181"/>
      <c r="E284" s="181"/>
      <c r="F284" s="181"/>
      <c r="G284" s="181"/>
      <c r="H284" s="181"/>
      <c r="I284" s="181"/>
      <c r="J284" s="181"/>
      <c r="K284" s="181"/>
      <c r="L284" s="181"/>
      <c r="M284" s="181"/>
      <c r="N284" s="181"/>
      <c r="O284" s="181"/>
      <c r="P284" s="181"/>
      <c r="Q284" s="182"/>
      <c r="R284" s="17"/>
      <c r="S284" s="17"/>
      <c r="T284" s="17"/>
      <c r="U284" s="17"/>
      <c r="V284" s="17"/>
      <c r="W284" s="17"/>
      <c r="X284" s="17"/>
      <c r="Y284" s="17"/>
      <c r="Z284" s="17"/>
      <c r="AA284" s="17"/>
      <c r="AB284" s="17"/>
      <c r="AC284" s="17"/>
      <c r="AD284" s="17"/>
      <c r="AE284" s="17"/>
      <c r="AF284" s="17"/>
      <c r="AG284" s="17"/>
      <c r="AH284" s="17"/>
      <c r="AI284" s="17"/>
      <c r="AJ284" s="17"/>
      <c r="AK284" s="17"/>
    </row>
    <row r="285" spans="1:37" ht="16.5" customHeight="1" x14ac:dyDescent="0.3">
      <c r="A285" s="183" t="s">
        <v>239</v>
      </c>
      <c r="B285" s="184"/>
      <c r="C285" s="184"/>
      <c r="D285" s="184"/>
      <c r="E285" s="184"/>
      <c r="F285" s="184"/>
      <c r="G285" s="184"/>
      <c r="H285" s="184"/>
      <c r="I285" s="184"/>
      <c r="J285" s="184"/>
      <c r="K285" s="184"/>
      <c r="L285" s="184"/>
      <c r="M285" s="184"/>
      <c r="N285" s="184"/>
      <c r="O285" s="184"/>
      <c r="P285" s="184"/>
      <c r="Q285" s="185"/>
      <c r="R285" s="17"/>
      <c r="S285" s="17"/>
      <c r="T285" s="17"/>
      <c r="U285" s="17"/>
      <c r="V285" s="17"/>
      <c r="W285" s="17"/>
      <c r="X285" s="17"/>
      <c r="Y285" s="17"/>
      <c r="Z285" s="17"/>
      <c r="AA285" s="17"/>
      <c r="AB285" s="17"/>
      <c r="AC285" s="17"/>
      <c r="AD285" s="17"/>
      <c r="AE285" s="17"/>
      <c r="AF285" s="17"/>
      <c r="AG285" s="17"/>
      <c r="AH285" s="17"/>
      <c r="AI285" s="17"/>
      <c r="AJ285" s="17"/>
      <c r="AK285" s="17"/>
    </row>
    <row r="286" spans="1:37" ht="15.75" customHeight="1" x14ac:dyDescent="0.3">
      <c r="A286" s="42"/>
      <c r="B286" s="42"/>
      <c r="C286" s="42"/>
      <c r="D286" s="43"/>
      <c r="E286" s="44"/>
      <c r="F286" s="45"/>
      <c r="G286" s="44"/>
      <c r="H286" s="42"/>
      <c r="I286" s="46"/>
      <c r="J286" s="46"/>
      <c r="K286" s="46"/>
      <c r="L286" s="46"/>
      <c r="M286" s="46"/>
      <c r="N286" s="47"/>
      <c r="O286" s="47"/>
      <c r="P286" s="48"/>
      <c r="Q286" s="48"/>
      <c r="R286" s="1"/>
      <c r="S286" s="1"/>
      <c r="T286" s="1"/>
      <c r="U286" s="1"/>
      <c r="V286" s="1"/>
      <c r="W286" s="1"/>
      <c r="X286" s="1"/>
      <c r="Y286" s="1"/>
      <c r="Z286" s="1"/>
      <c r="AA286" s="1"/>
      <c r="AB286" s="1"/>
      <c r="AC286" s="1"/>
      <c r="AD286" s="1"/>
      <c r="AE286" s="1"/>
      <c r="AF286" s="1"/>
      <c r="AG286" s="1"/>
      <c r="AH286" s="1"/>
      <c r="AI286" s="1"/>
      <c r="AJ286" s="1"/>
      <c r="AK286" s="1"/>
    </row>
    <row r="287" spans="1:37" ht="15.75" customHeight="1" x14ac:dyDescent="0.3">
      <c r="A287" s="42"/>
      <c r="B287" s="42"/>
      <c r="C287" s="42"/>
      <c r="D287" s="49"/>
      <c r="E287" s="44"/>
      <c r="F287" s="45"/>
      <c r="G287" s="44"/>
      <c r="H287" s="42"/>
      <c r="I287" s="46"/>
      <c r="J287" s="46"/>
      <c r="K287" s="46"/>
      <c r="L287" s="46"/>
      <c r="M287" s="46"/>
      <c r="N287" s="47"/>
      <c r="O287" s="47"/>
      <c r="P287" s="48"/>
      <c r="Q287" s="48"/>
      <c r="R287" s="1"/>
      <c r="S287" s="1"/>
      <c r="T287" s="1"/>
      <c r="U287" s="1"/>
      <c r="V287" s="1"/>
      <c r="W287" s="1"/>
      <c r="X287" s="1"/>
      <c r="Y287" s="1"/>
      <c r="Z287" s="1"/>
      <c r="AA287" s="1"/>
      <c r="AB287" s="1"/>
      <c r="AC287" s="1"/>
      <c r="AD287" s="1"/>
      <c r="AE287" s="1"/>
      <c r="AF287" s="1"/>
      <c r="AG287" s="1"/>
      <c r="AH287" s="1"/>
      <c r="AI287" s="1"/>
      <c r="AJ287" s="1"/>
      <c r="AK287" s="1"/>
    </row>
    <row r="288" spans="1:37"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autoFilter ref="N28:P275" xr:uid="{00000000-0009-0000-0000-000000000000}"/>
  <mergeCells count="3">
    <mergeCell ref="A283:Q283"/>
    <mergeCell ref="A284:Q284"/>
    <mergeCell ref="A285:Q285"/>
  </mergeCells>
  <printOptions horizontalCentered="1"/>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workbookViewId="0">
      <pane ySplit="7" topLeftCell="A8" activePane="bottomLeft" state="frozen"/>
      <selection pane="bottomLeft" activeCell="B9" sqref="B9"/>
    </sheetView>
  </sheetViews>
  <sheetFormatPr defaultColWidth="11.19921875" defaultRowHeight="15" customHeight="1" x14ac:dyDescent="0.3"/>
  <cols>
    <col min="1" max="1" width="7.09765625" customWidth="1"/>
    <col min="2" max="2" width="8.09765625" customWidth="1"/>
    <col min="3" max="3" width="38.3984375" customWidth="1"/>
    <col min="4" max="5" width="8.09765625" customWidth="1"/>
    <col min="6" max="6" width="13.09765625" customWidth="1"/>
    <col min="7" max="7" width="6.3984375" customWidth="1"/>
    <col min="8" max="8" width="10.3984375" customWidth="1"/>
    <col min="9" max="9" width="11.09765625" customWidth="1"/>
    <col min="10" max="10" width="36.09765625" customWidth="1"/>
    <col min="11" max="16" width="9.59765625" customWidth="1"/>
    <col min="17" max="26" width="12.59765625" customWidth="1"/>
  </cols>
  <sheetData>
    <row r="1" spans="1:16" ht="16.2" x14ac:dyDescent="0.3">
      <c r="A1" s="50"/>
      <c r="B1" s="50"/>
      <c r="C1" s="51"/>
      <c r="D1" s="52"/>
      <c r="E1" s="52"/>
      <c r="F1" s="52"/>
      <c r="G1" s="52"/>
      <c r="H1" s="53"/>
      <c r="I1" s="54"/>
      <c r="J1" s="1"/>
      <c r="K1" s="1"/>
      <c r="L1" s="1"/>
      <c r="M1" s="1"/>
      <c r="N1" s="1"/>
      <c r="O1" s="1"/>
      <c r="P1" s="1"/>
    </row>
    <row r="2" spans="1:16" ht="16.2" x14ac:dyDescent="0.3">
      <c r="A2" s="50"/>
      <c r="B2" s="50"/>
      <c r="C2" s="55" t="s">
        <v>240</v>
      </c>
      <c r="D2" s="51" t="s">
        <v>241</v>
      </c>
      <c r="E2" s="52"/>
      <c r="F2" s="52"/>
      <c r="G2" s="52"/>
      <c r="H2" s="1"/>
      <c r="I2" s="54"/>
      <c r="J2" s="1"/>
      <c r="K2" s="1"/>
      <c r="L2" s="1"/>
      <c r="M2" s="1"/>
      <c r="N2" s="1"/>
      <c r="O2" s="1"/>
      <c r="P2" s="1"/>
    </row>
    <row r="3" spans="1:16" ht="16.2" x14ac:dyDescent="0.3">
      <c r="A3" s="50"/>
      <c r="B3" s="50"/>
      <c r="C3" s="55" t="s">
        <v>242</v>
      </c>
      <c r="D3" s="51" t="s">
        <v>243</v>
      </c>
      <c r="E3" s="52"/>
      <c r="F3" s="52"/>
      <c r="G3" s="52"/>
      <c r="H3" s="1"/>
      <c r="I3" s="54"/>
      <c r="J3" s="1"/>
      <c r="K3" s="1"/>
      <c r="L3" s="1"/>
      <c r="M3" s="1"/>
      <c r="N3" s="1"/>
      <c r="O3" s="1"/>
      <c r="P3" s="1"/>
    </row>
    <row r="4" spans="1:16" ht="16.2" x14ac:dyDescent="0.3">
      <c r="A4" s="50"/>
      <c r="B4" s="50"/>
      <c r="C4" s="1"/>
      <c r="D4" s="51" t="s">
        <v>244</v>
      </c>
      <c r="E4" s="52"/>
      <c r="F4" s="52"/>
      <c r="G4" s="52"/>
      <c r="H4" s="1"/>
      <c r="I4" s="54"/>
      <c r="J4" s="1"/>
      <c r="K4" s="1"/>
      <c r="L4" s="1"/>
      <c r="M4" s="1"/>
      <c r="N4" s="1"/>
      <c r="O4" s="1"/>
      <c r="P4" s="1"/>
    </row>
    <row r="5" spans="1:16" ht="16.2" x14ac:dyDescent="0.3">
      <c r="A5" s="50"/>
      <c r="B5" s="50"/>
      <c r="C5" s="52"/>
      <c r="D5" s="52"/>
      <c r="E5" s="52"/>
      <c r="F5" s="52"/>
      <c r="G5" s="50"/>
      <c r="H5" s="51"/>
      <c r="I5" s="56"/>
      <c r="J5" s="1"/>
      <c r="K5" s="1"/>
      <c r="L5" s="1"/>
      <c r="M5" s="1"/>
      <c r="N5" s="1"/>
      <c r="O5" s="1"/>
      <c r="P5" s="1"/>
    </row>
    <row r="6" spans="1:16" ht="15.6" x14ac:dyDescent="0.3">
      <c r="A6" s="50"/>
      <c r="B6" s="50"/>
      <c r="C6" s="48"/>
      <c r="D6" s="57"/>
      <c r="E6" s="57"/>
      <c r="F6" s="57"/>
      <c r="G6" s="1"/>
      <c r="H6" s="58" t="s">
        <v>245</v>
      </c>
      <c r="I6" s="59">
        <f ca="1">TODAY()</f>
        <v>45569</v>
      </c>
      <c r="J6" s="1"/>
      <c r="K6" s="1"/>
      <c r="L6" s="1"/>
      <c r="M6" s="1"/>
      <c r="N6" s="1"/>
      <c r="O6" s="1"/>
      <c r="P6" s="1"/>
    </row>
    <row r="7" spans="1:16" ht="31.2" x14ac:dyDescent="0.3">
      <c r="A7" s="60" t="s">
        <v>0</v>
      </c>
      <c r="B7" s="61" t="s">
        <v>246</v>
      </c>
      <c r="C7" s="62" t="s">
        <v>3</v>
      </c>
      <c r="D7" s="62" t="s">
        <v>4</v>
      </c>
      <c r="E7" s="62" t="s">
        <v>5</v>
      </c>
      <c r="F7" s="62" t="s">
        <v>6</v>
      </c>
      <c r="G7" s="60" t="s">
        <v>7</v>
      </c>
      <c r="H7" s="62" t="s">
        <v>247</v>
      </c>
      <c r="I7" s="60" t="s">
        <v>16</v>
      </c>
      <c r="J7" s="63"/>
      <c r="K7" s="63"/>
      <c r="L7" s="186" t="s">
        <v>248</v>
      </c>
      <c r="M7" s="187"/>
      <c r="N7" s="63"/>
      <c r="O7" s="63"/>
      <c r="P7" s="63"/>
    </row>
    <row r="8" spans="1:16" ht="15.6" x14ac:dyDescent="0.3">
      <c r="A8" s="64"/>
      <c r="B8" s="65"/>
      <c r="C8" s="66" t="s">
        <v>249</v>
      </c>
      <c r="D8" s="67"/>
      <c r="E8" s="67"/>
      <c r="F8" s="67"/>
      <c r="G8" s="68"/>
      <c r="H8" s="69"/>
      <c r="I8" s="70"/>
      <c r="J8" s="1"/>
      <c r="K8" s="1"/>
      <c r="L8" s="71" t="s">
        <v>250</v>
      </c>
      <c r="M8" s="71" t="s">
        <v>251</v>
      </c>
      <c r="N8" s="1"/>
      <c r="O8" s="1"/>
      <c r="P8" s="1"/>
    </row>
    <row r="9" spans="1:16" ht="31.2" x14ac:dyDescent="0.3">
      <c r="A9" s="72">
        <v>1</v>
      </c>
      <c r="B9" s="73" t="s">
        <v>252</v>
      </c>
      <c r="C9" s="74" t="s">
        <v>253</v>
      </c>
      <c r="D9" s="75">
        <v>11635</v>
      </c>
      <c r="E9" s="76">
        <v>0.1</v>
      </c>
      <c r="F9" s="75">
        <f t="shared" ref="F9:F19" si="0">D9*(1+E9)</f>
        <v>12798.500000000002</v>
      </c>
      <c r="G9" s="73" t="s">
        <v>254</v>
      </c>
      <c r="H9" s="77">
        <v>4</v>
      </c>
      <c r="I9" s="78">
        <f t="shared" ref="I9:I19" si="1">H9*F9</f>
        <v>51194.000000000007</v>
      </c>
      <c r="J9" s="1" t="s">
        <v>255</v>
      </c>
      <c r="K9" s="50" t="s">
        <v>256</v>
      </c>
      <c r="L9" s="71">
        <f>2520-80</f>
        <v>2440</v>
      </c>
      <c r="M9" s="71">
        <v>280</v>
      </c>
      <c r="N9" s="1">
        <f>(2440*2+290*2+2345+3830)</f>
        <v>11635</v>
      </c>
      <c r="O9" s="1"/>
      <c r="P9" s="1"/>
    </row>
    <row r="10" spans="1:16" ht="46.8" x14ac:dyDescent="0.3">
      <c r="A10" s="79">
        <v>2</v>
      </c>
      <c r="B10" s="50" t="s">
        <v>252</v>
      </c>
      <c r="C10" s="80" t="s">
        <v>257</v>
      </c>
      <c r="D10" s="81">
        <v>1185</v>
      </c>
      <c r="E10" s="82">
        <v>0.1</v>
      </c>
      <c r="F10" s="81">
        <f t="shared" si="0"/>
        <v>1303.5</v>
      </c>
      <c r="G10" s="50" t="s">
        <v>254</v>
      </c>
      <c r="H10" s="83">
        <v>4.5</v>
      </c>
      <c r="I10" s="84">
        <f t="shared" si="1"/>
        <v>5865.75</v>
      </c>
      <c r="J10" s="1" t="s">
        <v>258</v>
      </c>
      <c r="K10" s="50" t="s">
        <v>259</v>
      </c>
      <c r="L10" s="71">
        <f>210-80</f>
        <v>130</v>
      </c>
      <c r="M10" s="71">
        <v>80</v>
      </c>
      <c r="N10" s="1">
        <f>(280*2+325+300)</f>
        <v>1185</v>
      </c>
      <c r="O10" s="1"/>
      <c r="P10" s="1"/>
    </row>
    <row r="11" spans="1:16" ht="31.2" x14ac:dyDescent="0.3">
      <c r="A11" s="79">
        <v>3</v>
      </c>
      <c r="B11" s="50" t="s">
        <v>252</v>
      </c>
      <c r="C11" s="80" t="s">
        <v>260</v>
      </c>
      <c r="D11" s="81">
        <v>260</v>
      </c>
      <c r="E11" s="82">
        <v>0.1</v>
      </c>
      <c r="F11" s="81">
        <f t="shared" si="0"/>
        <v>286</v>
      </c>
      <c r="G11" s="50" t="s">
        <v>254</v>
      </c>
      <c r="H11" s="83">
        <v>4.5</v>
      </c>
      <c r="I11" s="84">
        <f t="shared" si="1"/>
        <v>1287</v>
      </c>
      <c r="J11" s="1" t="s">
        <v>259</v>
      </c>
      <c r="K11" s="50" t="s">
        <v>261</v>
      </c>
      <c r="L11" s="71"/>
      <c r="M11" s="71"/>
      <c r="N11" s="1">
        <f>130*2</f>
        <v>260</v>
      </c>
      <c r="O11" s="1"/>
      <c r="P11" s="1"/>
    </row>
    <row r="12" spans="1:16" ht="46.8" x14ac:dyDescent="0.3">
      <c r="A12" s="79">
        <v>4</v>
      </c>
      <c r="B12" s="50" t="s">
        <v>252</v>
      </c>
      <c r="C12" s="85" t="s">
        <v>262</v>
      </c>
      <c r="D12" s="81">
        <v>160</v>
      </c>
      <c r="E12" s="82">
        <v>0.1</v>
      </c>
      <c r="F12" s="81">
        <f t="shared" si="0"/>
        <v>176</v>
      </c>
      <c r="G12" s="50" t="s">
        <v>254</v>
      </c>
      <c r="H12" s="83">
        <v>5</v>
      </c>
      <c r="I12" s="84">
        <f t="shared" si="1"/>
        <v>880</v>
      </c>
      <c r="J12" s="1" t="s">
        <v>259</v>
      </c>
      <c r="K12" s="50" t="s">
        <v>263</v>
      </c>
      <c r="L12" s="71">
        <v>290</v>
      </c>
      <c r="M12" s="71"/>
      <c r="N12" s="1">
        <f>80*2</f>
        <v>160</v>
      </c>
      <c r="O12" s="1"/>
      <c r="P12" s="1"/>
    </row>
    <row r="13" spans="1:16" ht="31.2" x14ac:dyDescent="0.3">
      <c r="A13" s="79">
        <v>5</v>
      </c>
      <c r="B13" s="50" t="s">
        <v>252</v>
      </c>
      <c r="C13" s="80" t="s">
        <v>264</v>
      </c>
      <c r="D13" s="81">
        <v>300</v>
      </c>
      <c r="E13" s="82">
        <v>0.1</v>
      </c>
      <c r="F13" s="81">
        <f t="shared" si="0"/>
        <v>330</v>
      </c>
      <c r="G13" s="50" t="s">
        <v>254</v>
      </c>
      <c r="H13" s="83">
        <v>4</v>
      </c>
      <c r="I13" s="84">
        <f t="shared" si="1"/>
        <v>1320</v>
      </c>
      <c r="J13" s="86" t="s">
        <v>265</v>
      </c>
      <c r="K13" s="50" t="s">
        <v>266</v>
      </c>
      <c r="L13" s="71">
        <v>1200</v>
      </c>
      <c r="M13" s="87"/>
      <c r="N13" s="88">
        <f>150*2</f>
        <v>300</v>
      </c>
      <c r="O13" s="88"/>
      <c r="P13" s="88"/>
    </row>
    <row r="14" spans="1:16" ht="31.2" x14ac:dyDescent="0.3">
      <c r="A14" s="79">
        <v>6</v>
      </c>
      <c r="B14" s="50" t="s">
        <v>267</v>
      </c>
      <c r="C14" s="80" t="s">
        <v>268</v>
      </c>
      <c r="D14" s="81">
        <v>14740</v>
      </c>
      <c r="E14" s="82">
        <v>0.1</v>
      </c>
      <c r="F14" s="81">
        <f t="shared" si="0"/>
        <v>16214.000000000002</v>
      </c>
      <c r="G14" s="50" t="s">
        <v>254</v>
      </c>
      <c r="H14" s="83">
        <v>4</v>
      </c>
      <c r="I14" s="84">
        <f t="shared" si="1"/>
        <v>64856.000000000007</v>
      </c>
      <c r="J14" s="1" t="s">
        <v>269</v>
      </c>
      <c r="K14" s="50" t="s">
        <v>270</v>
      </c>
      <c r="L14" s="71">
        <f>2670-325</f>
        <v>2345</v>
      </c>
      <c r="M14" s="71">
        <v>325</v>
      </c>
      <c r="N14" s="88">
        <f>SUM(N9:N13)+L13</f>
        <v>14740</v>
      </c>
      <c r="O14" s="88">
        <f>SUM(L9:M10)*2+L13+SUM(L14:M14)+L15*2+SUM(L17:M17)+L12*2</f>
        <v>14740</v>
      </c>
      <c r="P14" s="88">
        <f>N14-O14</f>
        <v>0</v>
      </c>
    </row>
    <row r="15" spans="1:16" ht="15.6" x14ac:dyDescent="0.3">
      <c r="A15" s="79">
        <v>7</v>
      </c>
      <c r="B15" s="50" t="s">
        <v>271</v>
      </c>
      <c r="C15" s="80" t="s">
        <v>272</v>
      </c>
      <c r="D15" s="81">
        <v>5750</v>
      </c>
      <c r="E15" s="82">
        <v>0.1</v>
      </c>
      <c r="F15" s="81">
        <f t="shared" si="0"/>
        <v>6325.0000000000009</v>
      </c>
      <c r="G15" s="50" t="s">
        <v>254</v>
      </c>
      <c r="H15" s="83">
        <v>2.5</v>
      </c>
      <c r="I15" s="84">
        <f t="shared" si="1"/>
        <v>15812.500000000002</v>
      </c>
      <c r="J15" s="1" t="s">
        <v>273</v>
      </c>
      <c r="K15" s="50" t="s">
        <v>265</v>
      </c>
      <c r="L15" s="71">
        <v>150</v>
      </c>
      <c r="M15" s="87"/>
      <c r="N15" s="88">
        <f>SUM(L9:M10)+SUM(L14:M15)</f>
        <v>5750</v>
      </c>
      <c r="O15" s="88"/>
      <c r="P15" s="88"/>
    </row>
    <row r="16" spans="1:16" ht="15.6" x14ac:dyDescent="0.3">
      <c r="A16" s="79">
        <v>8</v>
      </c>
      <c r="B16" s="50" t="s">
        <v>274</v>
      </c>
      <c r="C16" s="80" t="s">
        <v>275</v>
      </c>
      <c r="D16" s="81">
        <v>290</v>
      </c>
      <c r="E16" s="82">
        <v>0.1</v>
      </c>
      <c r="F16" s="81">
        <f t="shared" si="0"/>
        <v>319</v>
      </c>
      <c r="G16" s="50" t="s">
        <v>254</v>
      </c>
      <c r="H16" s="83">
        <v>2</v>
      </c>
      <c r="I16" s="84">
        <f t="shared" si="1"/>
        <v>638</v>
      </c>
      <c r="J16" s="1" t="s">
        <v>263</v>
      </c>
      <c r="K16" s="50" t="s">
        <v>276</v>
      </c>
      <c r="L16" s="71">
        <v>20</v>
      </c>
      <c r="M16" s="87"/>
      <c r="N16" s="88"/>
      <c r="O16" s="88"/>
      <c r="P16" s="88"/>
    </row>
    <row r="17" spans="1:16" ht="15.6" x14ac:dyDescent="0.3">
      <c r="A17" s="79">
        <v>8</v>
      </c>
      <c r="B17" s="50" t="s">
        <v>277</v>
      </c>
      <c r="C17" s="80" t="s">
        <v>278</v>
      </c>
      <c r="D17" s="81">
        <v>4130</v>
      </c>
      <c r="E17" s="82">
        <v>0.1</v>
      </c>
      <c r="F17" s="81">
        <f t="shared" si="0"/>
        <v>4543</v>
      </c>
      <c r="G17" s="50" t="s">
        <v>254</v>
      </c>
      <c r="H17" s="83">
        <v>3</v>
      </c>
      <c r="I17" s="84">
        <f t="shared" si="1"/>
        <v>13629</v>
      </c>
      <c r="J17" s="1"/>
      <c r="K17" s="50" t="s">
        <v>279</v>
      </c>
      <c r="L17" s="71">
        <v>3830</v>
      </c>
      <c r="M17" s="87">
        <v>300</v>
      </c>
      <c r="N17" s="88">
        <f>SUM(L17:M17)</f>
        <v>4130</v>
      </c>
      <c r="O17" s="88"/>
      <c r="P17" s="88"/>
    </row>
    <row r="18" spans="1:16" ht="15.6" x14ac:dyDescent="0.3">
      <c r="A18" s="79">
        <v>9</v>
      </c>
      <c r="B18" s="50" t="s">
        <v>280</v>
      </c>
      <c r="C18" s="80" t="s">
        <v>281</v>
      </c>
      <c r="D18" s="81">
        <v>5600</v>
      </c>
      <c r="E18" s="82">
        <v>0.05</v>
      </c>
      <c r="F18" s="81">
        <f t="shared" si="0"/>
        <v>5880</v>
      </c>
      <c r="G18" s="50" t="s">
        <v>254</v>
      </c>
      <c r="H18" s="83">
        <v>2</v>
      </c>
      <c r="I18" s="84">
        <f t="shared" si="1"/>
        <v>11760</v>
      </c>
      <c r="J18" s="1" t="s">
        <v>282</v>
      </c>
      <c r="K18" s="88"/>
      <c r="L18" s="88"/>
      <c r="M18" s="88"/>
      <c r="N18" s="88">
        <f>SUM(L9:M10)+SUM(L14:M14)</f>
        <v>5600</v>
      </c>
      <c r="O18" s="88"/>
      <c r="P18" s="88"/>
    </row>
    <row r="19" spans="1:16" ht="15.6" x14ac:dyDescent="0.3">
      <c r="A19" s="89">
        <v>10</v>
      </c>
      <c r="B19" s="90" t="s">
        <v>280</v>
      </c>
      <c r="C19" s="91" t="s">
        <v>283</v>
      </c>
      <c r="D19" s="92">
        <v>150</v>
      </c>
      <c r="E19" s="93">
        <v>0.1</v>
      </c>
      <c r="F19" s="92">
        <f t="shared" si="0"/>
        <v>165</v>
      </c>
      <c r="G19" s="90" t="s">
        <v>254</v>
      </c>
      <c r="H19" s="94">
        <v>2.2000000000000002</v>
      </c>
      <c r="I19" s="95">
        <f t="shared" si="1"/>
        <v>363.00000000000006</v>
      </c>
      <c r="J19" s="1" t="s">
        <v>265</v>
      </c>
      <c r="K19" s="50"/>
      <c r="L19" s="1"/>
      <c r="M19" s="88"/>
      <c r="N19" s="88">
        <v>150</v>
      </c>
      <c r="O19" s="88"/>
      <c r="P19" s="88"/>
    </row>
    <row r="20" spans="1:16" ht="15.6" x14ac:dyDescent="0.3">
      <c r="A20" s="50"/>
      <c r="B20" s="50"/>
      <c r="C20" s="80"/>
      <c r="D20" s="81"/>
      <c r="E20" s="81"/>
      <c r="F20" s="81"/>
      <c r="G20" s="50"/>
      <c r="H20" s="83"/>
      <c r="I20" s="96"/>
      <c r="J20" s="1"/>
      <c r="K20" s="1"/>
      <c r="L20" s="1"/>
      <c r="M20" s="1"/>
      <c r="N20" s="1"/>
      <c r="O20" s="1"/>
      <c r="P20" s="1"/>
    </row>
    <row r="21" spans="1:16" ht="15.75" customHeight="1" x14ac:dyDescent="0.3">
      <c r="A21" s="97" t="s">
        <v>284</v>
      </c>
      <c r="B21" s="98"/>
      <c r="C21" s="99"/>
      <c r="D21" s="100"/>
      <c r="E21" s="100"/>
      <c r="F21" s="100"/>
      <c r="G21" s="101"/>
      <c r="H21" s="102"/>
      <c r="I21" s="103">
        <f>SUM(I9:I19)</f>
        <v>167605.25000000003</v>
      </c>
      <c r="J21" s="1"/>
      <c r="K21" s="1"/>
      <c r="L21" s="1"/>
      <c r="M21" s="1"/>
      <c r="N21" s="1"/>
      <c r="O21" s="1"/>
      <c r="P21" s="1"/>
    </row>
    <row r="22" spans="1:16" ht="15.75" customHeight="1" x14ac:dyDescent="0.3">
      <c r="A22" s="97" t="s">
        <v>285</v>
      </c>
      <c r="B22" s="98"/>
      <c r="C22" s="99"/>
      <c r="D22" s="100"/>
      <c r="E22" s="100"/>
      <c r="F22" s="100"/>
      <c r="G22" s="101"/>
      <c r="H22" s="102"/>
      <c r="I22" s="104">
        <f>(3/100)*I21</f>
        <v>5028.1575000000003</v>
      </c>
      <c r="J22" s="1"/>
      <c r="K22" s="1"/>
      <c r="L22" s="1"/>
      <c r="M22" s="1"/>
      <c r="N22" s="1"/>
      <c r="O22" s="1"/>
      <c r="P22" s="1"/>
    </row>
    <row r="23" spans="1:16" ht="15.75" customHeight="1" x14ac:dyDescent="0.3">
      <c r="A23" s="97" t="s">
        <v>286</v>
      </c>
      <c r="B23" s="98"/>
      <c r="C23" s="99"/>
      <c r="D23" s="100"/>
      <c r="E23" s="100"/>
      <c r="F23" s="100"/>
      <c r="G23" s="101"/>
      <c r="H23" s="102"/>
      <c r="I23" s="103">
        <f>SUM(I21:I22)</f>
        <v>172633.40750000003</v>
      </c>
      <c r="J23" s="1"/>
      <c r="K23" s="1"/>
      <c r="L23" s="1"/>
      <c r="M23" s="1"/>
      <c r="N23" s="1"/>
      <c r="O23" s="1"/>
      <c r="P23" s="1"/>
    </row>
    <row r="24" spans="1:16" ht="15.75" customHeight="1" x14ac:dyDescent="0.3">
      <c r="A24" s="105"/>
      <c r="B24" s="105"/>
      <c r="C24" s="1"/>
      <c r="D24" s="106"/>
      <c r="E24" s="106"/>
      <c r="F24" s="106"/>
      <c r="G24" s="50"/>
      <c r="H24" s="107"/>
      <c r="I24" s="108"/>
      <c r="J24" s="1"/>
      <c r="K24" s="1"/>
      <c r="L24" s="1"/>
      <c r="M24" s="1"/>
      <c r="N24" s="1"/>
      <c r="O24" s="1"/>
      <c r="P24" s="1"/>
    </row>
    <row r="25" spans="1:16" ht="15.75" customHeight="1" x14ac:dyDescent="0.3">
      <c r="A25" s="50"/>
      <c r="B25" s="50"/>
      <c r="C25" s="109" t="s">
        <v>287</v>
      </c>
      <c r="D25" s="57"/>
      <c r="E25" s="57"/>
      <c r="F25" s="57"/>
      <c r="G25" s="50"/>
      <c r="H25" s="48"/>
      <c r="I25" s="56"/>
      <c r="J25" s="1"/>
      <c r="K25" s="1"/>
      <c r="L25" s="1"/>
      <c r="M25" s="1"/>
      <c r="N25" s="1"/>
      <c r="O25" s="1"/>
      <c r="P25" s="1"/>
    </row>
    <row r="26" spans="1:16" ht="15.75" customHeight="1" x14ac:dyDescent="0.3">
      <c r="A26" s="50"/>
      <c r="B26" s="50">
        <v>1</v>
      </c>
      <c r="C26" s="48" t="s">
        <v>288</v>
      </c>
      <c r="D26" s="57"/>
      <c r="E26" s="57"/>
      <c r="F26" s="57"/>
      <c r="G26" s="50"/>
      <c r="H26" s="48"/>
      <c r="I26" s="56"/>
      <c r="J26" s="110"/>
      <c r="K26" s="1"/>
      <c r="L26" s="1"/>
      <c r="M26" s="1"/>
      <c r="N26" s="1"/>
      <c r="O26" s="1"/>
      <c r="P26" s="1"/>
    </row>
    <row r="27" spans="1:16" ht="15.75" customHeight="1" x14ac:dyDescent="0.3">
      <c r="A27" s="50"/>
      <c r="B27" s="50">
        <v>2</v>
      </c>
      <c r="C27" s="48" t="s">
        <v>289</v>
      </c>
      <c r="D27" s="57"/>
      <c r="E27" s="57"/>
      <c r="F27" s="57"/>
      <c r="G27" s="50"/>
      <c r="H27" s="48"/>
      <c r="I27" s="56"/>
      <c r="J27" s="1"/>
      <c r="K27" s="1"/>
      <c r="L27" s="1"/>
      <c r="M27" s="1"/>
      <c r="N27" s="1"/>
      <c r="O27" s="1"/>
      <c r="P27" s="1"/>
    </row>
    <row r="28" spans="1:16" ht="15.75" customHeight="1" x14ac:dyDescent="0.3">
      <c r="A28" s="50"/>
      <c r="B28" s="50">
        <v>3</v>
      </c>
      <c r="C28" s="48" t="s">
        <v>290</v>
      </c>
      <c r="D28" s="57"/>
      <c r="E28" s="57"/>
      <c r="F28" s="57"/>
      <c r="G28" s="50"/>
      <c r="H28" s="48"/>
      <c r="I28" s="56"/>
      <c r="J28" s="1"/>
      <c r="K28" s="1"/>
      <c r="L28" s="1"/>
      <c r="M28" s="1"/>
      <c r="N28" s="1"/>
      <c r="O28" s="1"/>
      <c r="P28" s="1"/>
    </row>
    <row r="29" spans="1:16" ht="15.75" customHeight="1" x14ac:dyDescent="0.3">
      <c r="A29" s="50"/>
      <c r="B29" s="50">
        <v>4</v>
      </c>
      <c r="C29" s="111" t="s">
        <v>291</v>
      </c>
      <c r="D29" s="57"/>
      <c r="E29" s="57"/>
      <c r="F29" s="57"/>
      <c r="G29" s="50"/>
      <c r="H29" s="48"/>
      <c r="I29" s="56"/>
      <c r="J29" s="1"/>
      <c r="K29" s="1"/>
      <c r="L29" s="1"/>
      <c r="M29" s="1"/>
      <c r="N29" s="1"/>
      <c r="O29" s="1"/>
      <c r="P29" s="1"/>
    </row>
    <row r="30" spans="1:16" ht="15.75" customHeight="1" x14ac:dyDescent="0.3">
      <c r="A30" s="50"/>
      <c r="B30" s="50">
        <v>5</v>
      </c>
      <c r="C30" s="111" t="s">
        <v>292</v>
      </c>
      <c r="D30" s="57"/>
      <c r="E30" s="57"/>
      <c r="F30" s="57"/>
      <c r="G30" s="50"/>
      <c r="H30" s="48"/>
      <c r="I30" s="56"/>
      <c r="J30" s="1"/>
      <c r="K30" s="1"/>
      <c r="L30" s="1"/>
      <c r="M30" s="1"/>
      <c r="N30" s="1"/>
      <c r="O30" s="1"/>
      <c r="P30" s="1"/>
    </row>
    <row r="31" spans="1:16" ht="15.75" customHeight="1" x14ac:dyDescent="0.3">
      <c r="A31" s="50"/>
      <c r="B31" s="50">
        <v>6</v>
      </c>
      <c r="C31" s="111" t="s">
        <v>293</v>
      </c>
      <c r="D31" s="57"/>
      <c r="E31" s="57"/>
      <c r="F31" s="57"/>
      <c r="G31" s="50"/>
      <c r="H31" s="48"/>
      <c r="I31" s="56"/>
      <c r="J31" s="1"/>
      <c r="K31" s="1"/>
      <c r="L31" s="1"/>
      <c r="M31" s="1"/>
      <c r="N31" s="1"/>
      <c r="O31" s="1"/>
      <c r="P31" s="1"/>
    </row>
    <row r="32" spans="1:16" ht="15.75" customHeight="1" x14ac:dyDescent="0.3">
      <c r="A32" s="50"/>
      <c r="B32" s="50"/>
      <c r="C32" s="48"/>
      <c r="D32" s="57"/>
      <c r="E32" s="57"/>
      <c r="F32" s="57"/>
      <c r="G32" s="50"/>
      <c r="H32" s="48"/>
      <c r="I32" s="56"/>
      <c r="J32" s="1"/>
      <c r="K32" s="1"/>
      <c r="L32" s="1"/>
      <c r="M32" s="1"/>
      <c r="N32" s="1"/>
      <c r="O32" s="1"/>
      <c r="P32" s="1"/>
    </row>
    <row r="33" spans="1:16" ht="15.75" customHeight="1" x14ac:dyDescent="0.3">
      <c r="A33" s="50"/>
      <c r="B33" s="50"/>
      <c r="C33" s="48"/>
      <c r="D33" s="57"/>
      <c r="E33" s="57"/>
      <c r="F33" s="57"/>
      <c r="G33" s="50"/>
      <c r="H33" s="48"/>
      <c r="I33" s="56"/>
      <c r="J33" s="1"/>
      <c r="K33" s="1"/>
      <c r="L33" s="1"/>
      <c r="M33" s="1"/>
      <c r="N33" s="1"/>
      <c r="O33" s="1"/>
      <c r="P33" s="1"/>
    </row>
    <row r="34" spans="1:16" ht="15.75" customHeight="1" x14ac:dyDescent="0.3">
      <c r="A34" s="50"/>
      <c r="B34" s="50"/>
      <c r="C34" s="48"/>
      <c r="D34" s="57"/>
      <c r="E34" s="57"/>
      <c r="F34" s="57"/>
      <c r="G34" s="50"/>
      <c r="H34" s="48"/>
      <c r="I34" s="56"/>
      <c r="J34" s="1"/>
      <c r="K34" s="1"/>
      <c r="L34" s="1"/>
      <c r="M34" s="1"/>
      <c r="N34" s="1"/>
      <c r="O34" s="1"/>
      <c r="P34" s="1"/>
    </row>
    <row r="35" spans="1:16" ht="15.75" customHeight="1" x14ac:dyDescent="0.3">
      <c r="A35" s="50"/>
      <c r="B35" s="50"/>
      <c r="C35" s="48"/>
      <c r="D35" s="57"/>
      <c r="E35" s="57"/>
      <c r="F35" s="57"/>
      <c r="G35" s="50"/>
      <c r="H35" s="48"/>
      <c r="I35" s="56"/>
      <c r="J35" s="1"/>
      <c r="K35" s="1"/>
      <c r="L35" s="1"/>
      <c r="M35" s="1"/>
      <c r="N35" s="1"/>
      <c r="O35" s="1"/>
      <c r="P35" s="1"/>
    </row>
    <row r="36" spans="1:16" ht="15.75" customHeight="1" x14ac:dyDescent="0.3">
      <c r="A36" s="50"/>
      <c r="B36" s="50"/>
      <c r="C36" s="48"/>
      <c r="D36" s="57"/>
      <c r="E36" s="57"/>
      <c r="F36" s="57"/>
      <c r="G36" s="50"/>
      <c r="H36" s="48"/>
      <c r="I36" s="56"/>
      <c r="J36" s="1"/>
      <c r="K36" s="1"/>
      <c r="L36" s="1"/>
      <c r="M36" s="1"/>
      <c r="N36" s="1"/>
      <c r="O36" s="1"/>
      <c r="P36" s="1"/>
    </row>
    <row r="37" spans="1:16" ht="15.75" customHeight="1" x14ac:dyDescent="0.3">
      <c r="A37" s="50"/>
      <c r="B37" s="50"/>
      <c r="C37" s="48"/>
      <c r="D37" s="57"/>
      <c r="E37" s="57"/>
      <c r="F37" s="57"/>
      <c r="G37" s="50"/>
      <c r="H37" s="48"/>
      <c r="I37" s="56"/>
      <c r="J37" s="1"/>
      <c r="K37" s="1"/>
      <c r="L37" s="1"/>
      <c r="M37" s="1"/>
      <c r="N37" s="1"/>
      <c r="O37" s="1"/>
      <c r="P37" s="1"/>
    </row>
    <row r="38" spans="1:16" ht="15.75" customHeight="1" x14ac:dyDescent="0.3">
      <c r="A38" s="50"/>
      <c r="B38" s="50"/>
      <c r="C38" s="48"/>
      <c r="D38" s="57"/>
      <c r="E38" s="57"/>
      <c r="F38" s="57"/>
      <c r="G38" s="50"/>
      <c r="H38" s="48"/>
      <c r="I38" s="56"/>
      <c r="J38" s="1"/>
      <c r="K38" s="1"/>
      <c r="L38" s="1"/>
      <c r="M38" s="1"/>
      <c r="N38" s="1"/>
      <c r="O38" s="1"/>
      <c r="P38" s="1"/>
    </row>
    <row r="39" spans="1:16" ht="15.75" customHeight="1" x14ac:dyDescent="0.3">
      <c r="A39" s="50"/>
      <c r="B39" s="50"/>
      <c r="C39" s="48"/>
      <c r="D39" s="57"/>
      <c r="E39" s="57"/>
      <c r="F39" s="57"/>
      <c r="G39" s="50"/>
      <c r="H39" s="48"/>
      <c r="I39" s="56"/>
      <c r="J39" s="1"/>
      <c r="K39" s="1"/>
      <c r="L39" s="1"/>
      <c r="M39" s="1"/>
      <c r="N39" s="1"/>
      <c r="O39" s="1"/>
      <c r="P39" s="1"/>
    </row>
    <row r="40" spans="1:16" ht="15.75" customHeight="1" x14ac:dyDescent="0.3">
      <c r="A40" s="50"/>
      <c r="B40" s="50"/>
      <c r="C40" s="48"/>
      <c r="D40" s="57"/>
      <c r="E40" s="57"/>
      <c r="F40" s="57"/>
      <c r="G40" s="50"/>
      <c r="H40" s="48"/>
      <c r="I40" s="56"/>
      <c r="J40" s="1"/>
      <c r="K40" s="1"/>
      <c r="L40" s="1"/>
      <c r="M40" s="1"/>
      <c r="N40" s="1"/>
      <c r="O40" s="1"/>
      <c r="P40" s="1"/>
    </row>
    <row r="41" spans="1:16" ht="15.75" customHeight="1" x14ac:dyDescent="0.3">
      <c r="A41" s="50"/>
      <c r="B41" s="50"/>
      <c r="C41" s="48"/>
      <c r="D41" s="57"/>
      <c r="E41" s="57"/>
      <c r="F41" s="57"/>
      <c r="G41" s="50"/>
      <c r="H41" s="48"/>
      <c r="I41" s="56"/>
      <c r="J41" s="1"/>
      <c r="K41" s="1"/>
      <c r="L41" s="1"/>
      <c r="M41" s="1"/>
      <c r="N41" s="1"/>
      <c r="O41" s="1"/>
      <c r="P41" s="1"/>
    </row>
    <row r="42" spans="1:16" ht="15.75" customHeight="1" x14ac:dyDescent="0.3">
      <c r="A42" s="50"/>
      <c r="B42" s="50"/>
      <c r="C42" s="48"/>
      <c r="D42" s="57"/>
      <c r="E42" s="57"/>
      <c r="F42" s="57"/>
      <c r="G42" s="50"/>
      <c r="H42" s="48"/>
      <c r="I42" s="56"/>
      <c r="J42" s="1"/>
      <c r="K42" s="1"/>
      <c r="L42" s="1"/>
      <c r="M42" s="1"/>
      <c r="N42" s="1"/>
      <c r="O42" s="1"/>
      <c r="P42" s="1"/>
    </row>
    <row r="43" spans="1:16" ht="15.75" customHeight="1" x14ac:dyDescent="0.3">
      <c r="A43" s="50"/>
      <c r="B43" s="50"/>
      <c r="C43" s="48"/>
      <c r="D43" s="57"/>
      <c r="E43" s="57"/>
      <c r="F43" s="57"/>
      <c r="G43" s="50"/>
      <c r="H43" s="48"/>
      <c r="I43" s="56"/>
      <c r="J43" s="1"/>
      <c r="K43" s="1"/>
      <c r="L43" s="1"/>
      <c r="M43" s="1"/>
      <c r="N43" s="1"/>
      <c r="O43" s="1"/>
      <c r="P43" s="1"/>
    </row>
    <row r="44" spans="1:16" ht="15.75" customHeight="1" x14ac:dyDescent="0.3">
      <c r="A44" s="50"/>
      <c r="B44" s="50"/>
      <c r="C44" s="48"/>
      <c r="D44" s="57"/>
      <c r="E44" s="57"/>
      <c r="F44" s="57"/>
      <c r="G44" s="50"/>
      <c r="H44" s="48"/>
      <c r="I44" s="56"/>
      <c r="J44" s="1"/>
      <c r="K44" s="1"/>
      <c r="L44" s="1"/>
      <c r="M44" s="1"/>
      <c r="N44" s="1"/>
      <c r="O44" s="1"/>
      <c r="P44" s="1"/>
    </row>
    <row r="45" spans="1:16" ht="15.75" customHeight="1" x14ac:dyDescent="0.3">
      <c r="A45" s="50"/>
      <c r="B45" s="50"/>
      <c r="C45" s="48"/>
      <c r="D45" s="57"/>
      <c r="E45" s="57"/>
      <c r="F45" s="57"/>
      <c r="G45" s="50"/>
      <c r="H45" s="48"/>
      <c r="I45" s="56"/>
      <c r="J45" s="1"/>
      <c r="K45" s="1"/>
      <c r="L45" s="1"/>
      <c r="M45" s="1"/>
      <c r="N45" s="1"/>
      <c r="O45" s="1"/>
      <c r="P45" s="1"/>
    </row>
    <row r="46" spans="1:16" ht="15.75" customHeight="1" x14ac:dyDescent="0.3">
      <c r="A46" s="50"/>
      <c r="B46" s="50"/>
      <c r="C46" s="48"/>
      <c r="D46" s="57"/>
      <c r="E46" s="57"/>
      <c r="F46" s="57"/>
      <c r="G46" s="50"/>
      <c r="H46" s="48"/>
      <c r="I46" s="56"/>
      <c r="J46" s="1"/>
      <c r="K46" s="1"/>
      <c r="L46" s="1"/>
      <c r="M46" s="1"/>
      <c r="N46" s="1"/>
      <c r="O46" s="1"/>
      <c r="P46" s="1"/>
    </row>
    <row r="47" spans="1:16" ht="15.75" customHeight="1" x14ac:dyDescent="0.3">
      <c r="A47" s="50"/>
      <c r="B47" s="50"/>
      <c r="C47" s="48"/>
      <c r="D47" s="57"/>
      <c r="E47" s="57"/>
      <c r="F47" s="57"/>
      <c r="G47" s="50"/>
      <c r="H47" s="48"/>
      <c r="I47" s="56"/>
      <c r="J47" s="1"/>
      <c r="K47" s="1"/>
      <c r="L47" s="1"/>
      <c r="M47" s="1"/>
      <c r="N47" s="1"/>
      <c r="O47" s="1"/>
      <c r="P47" s="1"/>
    </row>
    <row r="48" spans="1:16" ht="15.75" customHeight="1" x14ac:dyDescent="0.3">
      <c r="A48" s="50"/>
      <c r="B48" s="50"/>
      <c r="C48" s="48"/>
      <c r="D48" s="57"/>
      <c r="E48" s="57"/>
      <c r="F48" s="57"/>
      <c r="G48" s="50"/>
      <c r="H48" s="48"/>
      <c r="I48" s="56"/>
      <c r="J48" s="1"/>
      <c r="K48" s="1"/>
      <c r="L48" s="1"/>
      <c r="M48" s="1"/>
      <c r="N48" s="1"/>
      <c r="O48" s="1"/>
      <c r="P48" s="1"/>
    </row>
    <row r="49" spans="1:16" ht="15.75" customHeight="1" x14ac:dyDescent="0.3">
      <c r="A49" s="50"/>
      <c r="B49" s="50"/>
      <c r="C49" s="48"/>
      <c r="D49" s="57"/>
      <c r="E49" s="57"/>
      <c r="F49" s="57"/>
      <c r="G49" s="50"/>
      <c r="H49" s="48"/>
      <c r="I49" s="56"/>
      <c r="J49" s="1"/>
      <c r="K49" s="1"/>
      <c r="L49" s="1"/>
      <c r="M49" s="1"/>
      <c r="N49" s="1"/>
      <c r="O49" s="1"/>
      <c r="P49" s="1"/>
    </row>
    <row r="50" spans="1:16" ht="15.75" customHeight="1" x14ac:dyDescent="0.3">
      <c r="A50" s="50"/>
      <c r="B50" s="50"/>
      <c r="C50" s="48"/>
      <c r="D50" s="57"/>
      <c r="E50" s="57"/>
      <c r="F50" s="57"/>
      <c r="G50" s="50"/>
      <c r="H50" s="48"/>
      <c r="I50" s="56"/>
      <c r="J50" s="1"/>
      <c r="K50" s="1"/>
      <c r="L50" s="1"/>
      <c r="M50" s="1"/>
      <c r="N50" s="1"/>
      <c r="O50" s="1"/>
      <c r="P50" s="1"/>
    </row>
    <row r="51" spans="1:16" ht="15.75" customHeight="1" x14ac:dyDescent="0.3">
      <c r="A51" s="50"/>
      <c r="B51" s="50"/>
      <c r="C51" s="48"/>
      <c r="D51" s="57"/>
      <c r="E51" s="57"/>
      <c r="F51" s="57"/>
      <c r="G51" s="50"/>
      <c r="H51" s="48"/>
      <c r="I51" s="56"/>
      <c r="J51" s="1"/>
      <c r="K51" s="1"/>
      <c r="L51" s="1"/>
      <c r="M51" s="1"/>
      <c r="N51" s="1"/>
      <c r="O51" s="1"/>
      <c r="P51" s="1"/>
    </row>
    <row r="52" spans="1:16" ht="15.75" customHeight="1" x14ac:dyDescent="0.3">
      <c r="A52" s="50"/>
      <c r="B52" s="50"/>
      <c r="C52" s="48"/>
      <c r="D52" s="57"/>
      <c r="E52" s="57"/>
      <c r="F52" s="57"/>
      <c r="G52" s="50"/>
      <c r="H52" s="48"/>
      <c r="I52" s="56"/>
      <c r="J52" s="1"/>
      <c r="K52" s="1"/>
      <c r="L52" s="1"/>
      <c r="M52" s="1"/>
      <c r="N52" s="1"/>
      <c r="O52" s="1"/>
      <c r="P52" s="1"/>
    </row>
    <row r="53" spans="1:16" ht="15.75" customHeight="1" x14ac:dyDescent="0.3">
      <c r="A53" s="50"/>
      <c r="B53" s="50"/>
      <c r="C53" s="48"/>
      <c r="D53" s="57"/>
      <c r="E53" s="57"/>
      <c r="F53" s="57"/>
      <c r="G53" s="50"/>
      <c r="H53" s="48"/>
      <c r="I53" s="56"/>
      <c r="J53" s="1"/>
      <c r="K53" s="1"/>
      <c r="L53" s="1"/>
      <c r="M53" s="1"/>
      <c r="N53" s="1"/>
      <c r="O53" s="1"/>
      <c r="P53" s="1"/>
    </row>
    <row r="54" spans="1:16" ht="15.75" customHeight="1" x14ac:dyDescent="0.3">
      <c r="A54" s="50"/>
      <c r="B54" s="50"/>
      <c r="C54" s="48"/>
      <c r="D54" s="57"/>
      <c r="E54" s="57"/>
      <c r="F54" s="57"/>
      <c r="G54" s="50"/>
      <c r="H54" s="48"/>
      <c r="I54" s="56"/>
      <c r="J54" s="1"/>
      <c r="K54" s="1"/>
      <c r="L54" s="1"/>
      <c r="M54" s="1"/>
      <c r="N54" s="1"/>
      <c r="O54" s="1"/>
      <c r="P54" s="1"/>
    </row>
    <row r="55" spans="1:16" ht="15.75" customHeight="1" x14ac:dyDescent="0.3">
      <c r="A55" s="50"/>
      <c r="B55" s="50"/>
      <c r="C55" s="48"/>
      <c r="D55" s="57"/>
      <c r="E55" s="57"/>
      <c r="F55" s="57"/>
      <c r="G55" s="50"/>
      <c r="H55" s="48"/>
      <c r="I55" s="56"/>
      <c r="J55" s="1"/>
      <c r="K55" s="1"/>
      <c r="L55" s="1"/>
      <c r="M55" s="1"/>
      <c r="N55" s="1"/>
      <c r="O55" s="1"/>
      <c r="P55" s="1"/>
    </row>
    <row r="56" spans="1:16" ht="15.75" customHeight="1" x14ac:dyDescent="0.3">
      <c r="A56" s="50"/>
      <c r="B56" s="50"/>
      <c r="C56" s="48"/>
      <c r="D56" s="57"/>
      <c r="E56" s="57"/>
      <c r="F56" s="57"/>
      <c r="G56" s="50"/>
      <c r="H56" s="48"/>
      <c r="I56" s="56"/>
      <c r="J56" s="1"/>
      <c r="K56" s="1"/>
      <c r="L56" s="1"/>
      <c r="M56" s="1"/>
      <c r="N56" s="1"/>
      <c r="O56" s="1"/>
      <c r="P56" s="1"/>
    </row>
    <row r="57" spans="1:16" ht="15.75" customHeight="1" x14ac:dyDescent="0.3">
      <c r="A57" s="50"/>
      <c r="B57" s="50"/>
      <c r="C57" s="48"/>
      <c r="D57" s="57"/>
      <c r="E57" s="57"/>
      <c r="F57" s="57"/>
      <c r="G57" s="50"/>
      <c r="H57" s="48"/>
      <c r="I57" s="56"/>
      <c r="J57" s="1"/>
      <c r="K57" s="1"/>
      <c r="L57" s="1"/>
      <c r="M57" s="1"/>
      <c r="N57" s="1"/>
      <c r="O57" s="1"/>
      <c r="P57" s="1"/>
    </row>
    <row r="58" spans="1:16" ht="15.75" customHeight="1" x14ac:dyDescent="0.3">
      <c r="A58" s="50"/>
      <c r="B58" s="50"/>
      <c r="C58" s="48"/>
      <c r="D58" s="57"/>
      <c r="E58" s="57"/>
      <c r="F58" s="57"/>
      <c r="G58" s="50"/>
      <c r="H58" s="48"/>
      <c r="I58" s="56"/>
      <c r="J58" s="1"/>
      <c r="K58" s="1"/>
      <c r="L58" s="1"/>
      <c r="M58" s="1"/>
      <c r="N58" s="1"/>
      <c r="O58" s="1"/>
      <c r="P58" s="1"/>
    </row>
    <row r="59" spans="1:16" ht="15.75" customHeight="1" x14ac:dyDescent="0.3">
      <c r="A59" s="50"/>
      <c r="B59" s="50"/>
      <c r="C59" s="48"/>
      <c r="D59" s="57"/>
      <c r="E59" s="57"/>
      <c r="F59" s="57"/>
      <c r="G59" s="50"/>
      <c r="H59" s="48"/>
      <c r="I59" s="56"/>
      <c r="J59" s="1"/>
      <c r="K59" s="1"/>
      <c r="L59" s="1"/>
      <c r="M59" s="1"/>
      <c r="N59" s="1"/>
      <c r="O59" s="1"/>
      <c r="P59" s="1"/>
    </row>
    <row r="60" spans="1:16" ht="15.75" customHeight="1" x14ac:dyDescent="0.3">
      <c r="A60" s="50"/>
      <c r="B60" s="50"/>
      <c r="C60" s="48"/>
      <c r="D60" s="57"/>
      <c r="E60" s="57"/>
      <c r="F60" s="57"/>
      <c r="G60" s="50"/>
      <c r="H60" s="48"/>
      <c r="I60" s="56"/>
      <c r="J60" s="1"/>
      <c r="K60" s="1"/>
      <c r="L60" s="1"/>
      <c r="M60" s="1"/>
      <c r="N60" s="1"/>
      <c r="O60" s="1"/>
      <c r="P60" s="1"/>
    </row>
    <row r="61" spans="1:16" ht="15.75" customHeight="1" x14ac:dyDescent="0.3">
      <c r="A61" s="50"/>
      <c r="B61" s="50"/>
      <c r="C61" s="48"/>
      <c r="D61" s="57"/>
      <c r="E61" s="57"/>
      <c r="F61" s="57"/>
      <c r="G61" s="50"/>
      <c r="H61" s="48"/>
      <c r="I61" s="56"/>
      <c r="J61" s="1"/>
      <c r="K61" s="1"/>
      <c r="L61" s="1"/>
      <c r="M61" s="1"/>
      <c r="N61" s="1"/>
      <c r="O61" s="1"/>
      <c r="P61" s="1"/>
    </row>
    <row r="62" spans="1:16" ht="15.75" customHeight="1" x14ac:dyDescent="0.3">
      <c r="A62" s="50"/>
      <c r="B62" s="50"/>
      <c r="C62" s="48"/>
      <c r="D62" s="57"/>
      <c r="E62" s="57"/>
      <c r="F62" s="57"/>
      <c r="G62" s="50"/>
      <c r="H62" s="48"/>
      <c r="I62" s="56"/>
      <c r="J62" s="1"/>
      <c r="K62" s="1"/>
      <c r="L62" s="1"/>
      <c r="M62" s="1"/>
      <c r="N62" s="1"/>
      <c r="O62" s="1"/>
      <c r="P62" s="1"/>
    </row>
    <row r="63" spans="1:16" ht="15.75" customHeight="1" x14ac:dyDescent="0.3">
      <c r="A63" s="50"/>
      <c r="B63" s="50"/>
      <c r="C63" s="48"/>
      <c r="D63" s="57"/>
      <c r="E63" s="57"/>
      <c r="F63" s="57"/>
      <c r="G63" s="50"/>
      <c r="H63" s="48"/>
      <c r="I63" s="56"/>
      <c r="J63" s="1"/>
      <c r="K63" s="1"/>
      <c r="L63" s="1"/>
      <c r="M63" s="1"/>
      <c r="N63" s="1"/>
      <c r="O63" s="1"/>
      <c r="P63" s="1"/>
    </row>
    <row r="64" spans="1:16" ht="15.75" customHeight="1" x14ac:dyDescent="0.3">
      <c r="A64" s="50"/>
      <c r="B64" s="50"/>
      <c r="C64" s="48"/>
      <c r="D64" s="57"/>
      <c r="E64" s="57"/>
      <c r="F64" s="57"/>
      <c r="G64" s="50"/>
      <c r="H64" s="48"/>
      <c r="I64" s="56"/>
      <c r="J64" s="1"/>
      <c r="K64" s="1"/>
      <c r="L64" s="1"/>
      <c r="M64" s="1"/>
      <c r="N64" s="1"/>
      <c r="O64" s="1"/>
      <c r="P64" s="1"/>
    </row>
    <row r="65" spans="1:16" ht="15.75" customHeight="1" x14ac:dyDescent="0.3">
      <c r="A65" s="50"/>
      <c r="B65" s="50"/>
      <c r="C65" s="48"/>
      <c r="D65" s="57"/>
      <c r="E65" s="57"/>
      <c r="F65" s="57"/>
      <c r="G65" s="50"/>
      <c r="H65" s="48"/>
      <c r="I65" s="56"/>
      <c r="J65" s="1"/>
      <c r="K65" s="1"/>
      <c r="L65" s="1"/>
      <c r="M65" s="1"/>
      <c r="N65" s="1"/>
      <c r="O65" s="1"/>
      <c r="P65" s="1"/>
    </row>
    <row r="66" spans="1:16" ht="15.75" customHeight="1" x14ac:dyDescent="0.3">
      <c r="A66" s="50"/>
      <c r="B66" s="50"/>
      <c r="C66" s="48"/>
      <c r="D66" s="57"/>
      <c r="E66" s="57"/>
      <c r="F66" s="57"/>
      <c r="G66" s="50"/>
      <c r="H66" s="48"/>
      <c r="I66" s="56"/>
      <c r="J66" s="1"/>
      <c r="K66" s="1"/>
      <c r="L66" s="1"/>
      <c r="M66" s="1"/>
      <c r="N66" s="1"/>
      <c r="O66" s="1"/>
      <c r="P66" s="1"/>
    </row>
    <row r="67" spans="1:16" ht="15.75" customHeight="1" x14ac:dyDescent="0.3">
      <c r="A67" s="50"/>
      <c r="B67" s="50"/>
      <c r="C67" s="48"/>
      <c r="D67" s="57"/>
      <c r="E67" s="57"/>
      <c r="F67" s="57"/>
      <c r="G67" s="50"/>
      <c r="H67" s="48"/>
      <c r="I67" s="56"/>
      <c r="J67" s="1"/>
      <c r="K67" s="1"/>
      <c r="L67" s="1"/>
      <c r="M67" s="1"/>
      <c r="N67" s="1"/>
      <c r="O67" s="1"/>
      <c r="P67" s="1"/>
    </row>
    <row r="68" spans="1:16" ht="15.75" customHeight="1" x14ac:dyDescent="0.3">
      <c r="A68" s="50"/>
      <c r="B68" s="50"/>
      <c r="C68" s="48"/>
      <c r="D68" s="57"/>
      <c r="E68" s="57"/>
      <c r="F68" s="57"/>
      <c r="G68" s="50"/>
      <c r="H68" s="48"/>
      <c r="I68" s="56"/>
      <c r="J68" s="1"/>
      <c r="K68" s="1"/>
      <c r="L68" s="1"/>
      <c r="M68" s="1"/>
      <c r="N68" s="1"/>
      <c r="O68" s="1"/>
      <c r="P68" s="1"/>
    </row>
    <row r="69" spans="1:16" ht="15.75" customHeight="1" x14ac:dyDescent="0.3">
      <c r="A69" s="50"/>
      <c r="B69" s="50"/>
      <c r="C69" s="48"/>
      <c r="D69" s="57"/>
      <c r="E69" s="57"/>
      <c r="F69" s="57"/>
      <c r="G69" s="50"/>
      <c r="H69" s="48"/>
      <c r="I69" s="56"/>
      <c r="J69" s="1"/>
      <c r="K69" s="1"/>
      <c r="L69" s="1"/>
      <c r="M69" s="1"/>
      <c r="N69" s="1"/>
      <c r="O69" s="1"/>
      <c r="P69" s="1"/>
    </row>
    <row r="70" spans="1:16" ht="15.75" customHeight="1" x14ac:dyDescent="0.3">
      <c r="A70" s="50"/>
      <c r="B70" s="50"/>
      <c r="C70" s="48"/>
      <c r="D70" s="57"/>
      <c r="E70" s="57"/>
      <c r="F70" s="57"/>
      <c r="G70" s="50"/>
      <c r="H70" s="48"/>
      <c r="I70" s="56"/>
      <c r="J70" s="1"/>
      <c r="K70" s="1"/>
      <c r="L70" s="1"/>
      <c r="M70" s="1"/>
      <c r="N70" s="1"/>
      <c r="O70" s="1"/>
      <c r="P70" s="1"/>
    </row>
    <row r="71" spans="1:16" ht="15.75" customHeight="1" x14ac:dyDescent="0.3">
      <c r="A71" s="50"/>
      <c r="B71" s="50"/>
      <c r="C71" s="48"/>
      <c r="D71" s="57"/>
      <c r="E71" s="57"/>
      <c r="F71" s="57"/>
      <c r="G71" s="50"/>
      <c r="H71" s="48"/>
      <c r="I71" s="56"/>
      <c r="J71" s="1"/>
      <c r="K71" s="1"/>
      <c r="L71" s="1"/>
      <c r="M71" s="1"/>
      <c r="N71" s="1"/>
      <c r="O71" s="1"/>
      <c r="P71" s="1"/>
    </row>
    <row r="72" spans="1:16" ht="15.75" customHeight="1" x14ac:dyDescent="0.3">
      <c r="A72" s="50"/>
      <c r="B72" s="50"/>
      <c r="C72" s="48"/>
      <c r="D72" s="57"/>
      <c r="E72" s="57"/>
      <c r="F72" s="57"/>
      <c r="G72" s="50"/>
      <c r="H72" s="48"/>
      <c r="I72" s="56"/>
      <c r="J72" s="1"/>
      <c r="K72" s="1"/>
      <c r="L72" s="1"/>
      <c r="M72" s="1"/>
      <c r="N72" s="1"/>
      <c r="O72" s="1"/>
      <c r="P72" s="1"/>
    </row>
    <row r="73" spans="1:16" ht="15.75" customHeight="1" x14ac:dyDescent="0.3">
      <c r="A73" s="50"/>
      <c r="B73" s="50"/>
      <c r="C73" s="48"/>
      <c r="D73" s="57"/>
      <c r="E73" s="57"/>
      <c r="F73" s="57"/>
      <c r="G73" s="50"/>
      <c r="H73" s="48"/>
      <c r="I73" s="56"/>
      <c r="J73" s="1"/>
      <c r="K73" s="1"/>
      <c r="L73" s="1"/>
      <c r="M73" s="1"/>
      <c r="N73" s="1"/>
      <c r="O73" s="1"/>
      <c r="P73" s="1"/>
    </row>
    <row r="74" spans="1:16" ht="15.75" customHeight="1" x14ac:dyDescent="0.3">
      <c r="A74" s="50"/>
      <c r="B74" s="50"/>
      <c r="C74" s="48"/>
      <c r="D74" s="57"/>
      <c r="E74" s="57"/>
      <c r="F74" s="57"/>
      <c r="G74" s="50"/>
      <c r="H74" s="48"/>
      <c r="I74" s="56"/>
      <c r="J74" s="1"/>
      <c r="K74" s="1"/>
      <c r="L74" s="1"/>
      <c r="M74" s="1"/>
      <c r="N74" s="1"/>
      <c r="O74" s="1"/>
      <c r="P74" s="1"/>
    </row>
    <row r="75" spans="1:16" ht="15.75" customHeight="1" x14ac:dyDescent="0.3">
      <c r="A75" s="50"/>
      <c r="B75" s="50"/>
      <c r="C75" s="48"/>
      <c r="D75" s="57"/>
      <c r="E75" s="57"/>
      <c r="F75" s="57"/>
      <c r="G75" s="50"/>
      <c r="H75" s="48"/>
      <c r="I75" s="56"/>
      <c r="J75" s="1"/>
      <c r="K75" s="1"/>
      <c r="L75" s="1"/>
      <c r="M75" s="1"/>
      <c r="N75" s="1"/>
      <c r="O75" s="1"/>
      <c r="P75" s="1"/>
    </row>
    <row r="76" spans="1:16" ht="15.75" customHeight="1" x14ac:dyDescent="0.3">
      <c r="A76" s="50"/>
      <c r="B76" s="50"/>
      <c r="C76" s="48"/>
      <c r="D76" s="57"/>
      <c r="E76" s="57"/>
      <c r="F76" s="57"/>
      <c r="G76" s="50"/>
      <c r="H76" s="48"/>
      <c r="I76" s="56"/>
      <c r="J76" s="1"/>
      <c r="K76" s="1"/>
      <c r="L76" s="1"/>
      <c r="M76" s="1"/>
      <c r="N76" s="1"/>
      <c r="O76" s="1"/>
      <c r="P76" s="1"/>
    </row>
    <row r="77" spans="1:16" ht="15.75" customHeight="1" x14ac:dyDescent="0.3">
      <c r="A77" s="50"/>
      <c r="B77" s="50"/>
      <c r="C77" s="48"/>
      <c r="D77" s="57"/>
      <c r="E77" s="57"/>
      <c r="F77" s="57"/>
      <c r="G77" s="50"/>
      <c r="H77" s="48"/>
      <c r="I77" s="56"/>
      <c r="J77" s="1"/>
      <c r="K77" s="1"/>
      <c r="L77" s="1"/>
      <c r="M77" s="1"/>
      <c r="N77" s="1"/>
      <c r="O77" s="1"/>
      <c r="P77" s="1"/>
    </row>
    <row r="78" spans="1:16" ht="15.75" customHeight="1" x14ac:dyDescent="0.3">
      <c r="A78" s="50"/>
      <c r="B78" s="50"/>
      <c r="C78" s="48"/>
      <c r="D78" s="57"/>
      <c r="E78" s="57"/>
      <c r="F78" s="57"/>
      <c r="G78" s="50"/>
      <c r="H78" s="48"/>
      <c r="I78" s="56"/>
      <c r="J78" s="1"/>
      <c r="K78" s="1"/>
      <c r="L78" s="1"/>
      <c r="M78" s="1"/>
      <c r="N78" s="1"/>
      <c r="O78" s="1"/>
      <c r="P78" s="1"/>
    </row>
    <row r="79" spans="1:16" ht="15.75" customHeight="1" x14ac:dyDescent="0.3">
      <c r="A79" s="50"/>
      <c r="B79" s="50"/>
      <c r="C79" s="48"/>
      <c r="D79" s="57"/>
      <c r="E79" s="57"/>
      <c r="F79" s="57"/>
      <c r="G79" s="50"/>
      <c r="H79" s="48"/>
      <c r="I79" s="56"/>
      <c r="J79" s="1"/>
      <c r="K79" s="1"/>
      <c r="L79" s="1"/>
      <c r="M79" s="1"/>
      <c r="N79" s="1"/>
      <c r="O79" s="1"/>
      <c r="P79" s="1"/>
    </row>
    <row r="80" spans="1:16" ht="15.75" customHeight="1" x14ac:dyDescent="0.3">
      <c r="A80" s="50"/>
      <c r="B80" s="50"/>
      <c r="C80" s="48"/>
      <c r="D80" s="57"/>
      <c r="E80" s="57"/>
      <c r="F80" s="57"/>
      <c r="G80" s="50"/>
      <c r="H80" s="48"/>
      <c r="I80" s="56"/>
      <c r="J80" s="1"/>
      <c r="K80" s="1"/>
      <c r="L80" s="1"/>
      <c r="M80" s="1"/>
      <c r="N80" s="1"/>
      <c r="O80" s="1"/>
      <c r="P80" s="1"/>
    </row>
    <row r="81" spans="1:16" ht="15.75" customHeight="1" x14ac:dyDescent="0.3">
      <c r="A81" s="50"/>
      <c r="B81" s="50"/>
      <c r="C81" s="48"/>
      <c r="D81" s="57"/>
      <c r="E81" s="57"/>
      <c r="F81" s="57"/>
      <c r="G81" s="50"/>
      <c r="H81" s="48"/>
      <c r="I81" s="56"/>
      <c r="J81" s="1"/>
      <c r="K81" s="1"/>
      <c r="L81" s="1"/>
      <c r="M81" s="1"/>
      <c r="N81" s="1"/>
      <c r="O81" s="1"/>
      <c r="P81" s="1"/>
    </row>
    <row r="82" spans="1:16" ht="15.75" customHeight="1" x14ac:dyDescent="0.3">
      <c r="A82" s="50"/>
      <c r="B82" s="50"/>
      <c r="C82" s="48"/>
      <c r="D82" s="57"/>
      <c r="E82" s="57"/>
      <c r="F82" s="57"/>
      <c r="G82" s="50"/>
      <c r="H82" s="48"/>
      <c r="I82" s="56"/>
      <c r="J82" s="1"/>
      <c r="K82" s="1"/>
      <c r="L82" s="1"/>
      <c r="M82" s="1"/>
      <c r="N82" s="1"/>
      <c r="O82" s="1"/>
      <c r="P82" s="1"/>
    </row>
    <row r="83" spans="1:16" ht="15.75" customHeight="1" x14ac:dyDescent="0.3">
      <c r="A83" s="50"/>
      <c r="B83" s="50"/>
      <c r="C83" s="48"/>
      <c r="D83" s="57"/>
      <c r="E83" s="57"/>
      <c r="F83" s="57"/>
      <c r="G83" s="50"/>
      <c r="H83" s="48"/>
      <c r="I83" s="56"/>
      <c r="J83" s="1"/>
      <c r="K83" s="1"/>
      <c r="L83" s="1"/>
      <c r="M83" s="1"/>
      <c r="N83" s="1"/>
      <c r="O83" s="1"/>
      <c r="P83" s="1"/>
    </row>
    <row r="84" spans="1:16" ht="15.75" customHeight="1" x14ac:dyDescent="0.3">
      <c r="A84" s="50"/>
      <c r="B84" s="50"/>
      <c r="C84" s="48"/>
      <c r="D84" s="57"/>
      <c r="E84" s="57"/>
      <c r="F84" s="57"/>
      <c r="G84" s="50"/>
      <c r="H84" s="48"/>
      <c r="I84" s="56"/>
      <c r="J84" s="1"/>
      <c r="K84" s="1"/>
      <c r="L84" s="1"/>
      <c r="M84" s="1"/>
      <c r="N84" s="1"/>
      <c r="O84" s="1"/>
      <c r="P84" s="1"/>
    </row>
    <row r="85" spans="1:16" ht="15.75" customHeight="1" x14ac:dyDescent="0.3">
      <c r="A85" s="50"/>
      <c r="B85" s="50"/>
      <c r="C85" s="48"/>
      <c r="D85" s="57"/>
      <c r="E85" s="57"/>
      <c r="F85" s="57"/>
      <c r="G85" s="50"/>
      <c r="H85" s="48"/>
      <c r="I85" s="56"/>
      <c r="J85" s="1"/>
      <c r="K85" s="1"/>
      <c r="L85" s="1"/>
      <c r="M85" s="1"/>
      <c r="N85" s="1"/>
      <c r="O85" s="1"/>
      <c r="P85" s="1"/>
    </row>
    <row r="86" spans="1:16" ht="15.75" customHeight="1" x14ac:dyDescent="0.3">
      <c r="A86" s="50"/>
      <c r="B86" s="50"/>
      <c r="C86" s="48"/>
      <c r="D86" s="57"/>
      <c r="E86" s="57"/>
      <c r="F86" s="57"/>
      <c r="G86" s="50"/>
      <c r="H86" s="48"/>
      <c r="I86" s="56"/>
      <c r="J86" s="1"/>
      <c r="K86" s="1"/>
      <c r="L86" s="1"/>
      <c r="M86" s="1"/>
      <c r="N86" s="1"/>
      <c r="O86" s="1"/>
      <c r="P86" s="1"/>
    </row>
    <row r="87" spans="1:16" ht="15.75" customHeight="1" x14ac:dyDescent="0.3">
      <c r="A87" s="50"/>
      <c r="B87" s="50"/>
      <c r="C87" s="48"/>
      <c r="D87" s="57"/>
      <c r="E87" s="57"/>
      <c r="F87" s="57"/>
      <c r="G87" s="50"/>
      <c r="H87" s="48"/>
      <c r="I87" s="56"/>
      <c r="J87" s="1"/>
      <c r="K87" s="1"/>
      <c r="L87" s="1"/>
      <c r="M87" s="1"/>
      <c r="N87" s="1"/>
      <c r="O87" s="1"/>
      <c r="P87" s="1"/>
    </row>
    <row r="88" spans="1:16" ht="15.75" customHeight="1" x14ac:dyDescent="0.3">
      <c r="A88" s="50"/>
      <c r="B88" s="50"/>
      <c r="C88" s="48"/>
      <c r="D88" s="57"/>
      <c r="E88" s="57"/>
      <c r="F88" s="57"/>
      <c r="G88" s="50"/>
      <c r="H88" s="48"/>
      <c r="I88" s="56"/>
      <c r="J88" s="1"/>
      <c r="K88" s="1"/>
      <c r="L88" s="1"/>
      <c r="M88" s="1"/>
      <c r="N88" s="1"/>
      <c r="O88" s="1"/>
      <c r="P88" s="1"/>
    </row>
    <row r="89" spans="1:16" ht="15.75" customHeight="1" x14ac:dyDescent="0.3">
      <c r="A89" s="50"/>
      <c r="B89" s="50"/>
      <c r="C89" s="48"/>
      <c r="D89" s="57"/>
      <c r="E89" s="57"/>
      <c r="F89" s="57"/>
      <c r="G89" s="50"/>
      <c r="H89" s="48"/>
      <c r="I89" s="56"/>
      <c r="J89" s="1"/>
      <c r="K89" s="1"/>
      <c r="L89" s="1"/>
      <c r="M89" s="1"/>
      <c r="N89" s="1"/>
      <c r="O89" s="1"/>
      <c r="P89" s="1"/>
    </row>
    <row r="90" spans="1:16" ht="15.75" customHeight="1" x14ac:dyDescent="0.3">
      <c r="A90" s="50"/>
      <c r="B90" s="50"/>
      <c r="C90" s="48"/>
      <c r="D90" s="57"/>
      <c r="E90" s="57"/>
      <c r="F90" s="57"/>
      <c r="G90" s="50"/>
      <c r="H90" s="48"/>
      <c r="I90" s="56"/>
      <c r="J90" s="1"/>
      <c r="K90" s="1"/>
      <c r="L90" s="1"/>
      <c r="M90" s="1"/>
      <c r="N90" s="1"/>
      <c r="O90" s="1"/>
      <c r="P90" s="1"/>
    </row>
    <row r="91" spans="1:16" ht="15.75" customHeight="1" x14ac:dyDescent="0.3">
      <c r="A91" s="50"/>
      <c r="B91" s="50"/>
      <c r="C91" s="48"/>
      <c r="D91" s="57"/>
      <c r="E91" s="57"/>
      <c r="F91" s="57"/>
      <c r="G91" s="50"/>
      <c r="H91" s="48"/>
      <c r="I91" s="56"/>
      <c r="J91" s="1"/>
      <c r="K91" s="1"/>
      <c r="L91" s="1"/>
      <c r="M91" s="1"/>
      <c r="N91" s="1"/>
      <c r="O91" s="1"/>
      <c r="P91" s="1"/>
    </row>
    <row r="92" spans="1:16" ht="15.75" customHeight="1" x14ac:dyDescent="0.3">
      <c r="A92" s="50"/>
      <c r="B92" s="50"/>
      <c r="C92" s="48"/>
      <c r="D92" s="57"/>
      <c r="E92" s="57"/>
      <c r="F92" s="57"/>
      <c r="G92" s="50"/>
      <c r="H92" s="48"/>
      <c r="I92" s="56"/>
      <c r="J92" s="1"/>
      <c r="K92" s="1"/>
      <c r="L92" s="1"/>
      <c r="M92" s="1"/>
      <c r="N92" s="1"/>
      <c r="O92" s="1"/>
      <c r="P92" s="1"/>
    </row>
    <row r="93" spans="1:16" ht="15.75" customHeight="1" x14ac:dyDescent="0.3">
      <c r="A93" s="50"/>
      <c r="B93" s="50"/>
      <c r="C93" s="48"/>
      <c r="D93" s="57"/>
      <c r="E93" s="57"/>
      <c r="F93" s="57"/>
      <c r="G93" s="50"/>
      <c r="H93" s="48"/>
      <c r="I93" s="56"/>
      <c r="J93" s="1"/>
      <c r="K93" s="1"/>
      <c r="L93" s="1"/>
      <c r="M93" s="1"/>
      <c r="N93" s="1"/>
      <c r="O93" s="1"/>
      <c r="P93" s="1"/>
    </row>
    <row r="94" spans="1:16" ht="15.75" customHeight="1" x14ac:dyDescent="0.3">
      <c r="A94" s="50"/>
      <c r="B94" s="50"/>
      <c r="C94" s="48"/>
      <c r="D94" s="57"/>
      <c r="E94" s="57"/>
      <c r="F94" s="57"/>
      <c r="G94" s="50"/>
      <c r="H94" s="48"/>
      <c r="I94" s="56"/>
      <c r="J94" s="1"/>
      <c r="K94" s="1"/>
      <c r="L94" s="1"/>
      <c r="M94" s="1"/>
      <c r="N94" s="1"/>
      <c r="O94" s="1"/>
      <c r="P94" s="1"/>
    </row>
    <row r="95" spans="1:16" ht="15.75" customHeight="1" x14ac:dyDescent="0.3">
      <c r="A95" s="50"/>
      <c r="B95" s="50"/>
      <c r="C95" s="48"/>
      <c r="D95" s="57"/>
      <c r="E95" s="57"/>
      <c r="F95" s="57"/>
      <c r="G95" s="50"/>
      <c r="H95" s="48"/>
      <c r="I95" s="56"/>
      <c r="J95" s="1"/>
      <c r="K95" s="1"/>
      <c r="L95" s="1"/>
      <c r="M95" s="1"/>
      <c r="N95" s="1"/>
      <c r="O95" s="1"/>
      <c r="P95" s="1"/>
    </row>
    <row r="96" spans="1:16" ht="15.75" customHeight="1" x14ac:dyDescent="0.3">
      <c r="A96" s="50"/>
      <c r="B96" s="50"/>
      <c r="C96" s="48"/>
      <c r="D96" s="57"/>
      <c r="E96" s="57"/>
      <c r="F96" s="57"/>
      <c r="G96" s="50"/>
      <c r="H96" s="48"/>
      <c r="I96" s="56"/>
      <c r="J96" s="1"/>
      <c r="K96" s="1"/>
      <c r="L96" s="1"/>
      <c r="M96" s="1"/>
      <c r="N96" s="1"/>
      <c r="O96" s="1"/>
      <c r="P96" s="1"/>
    </row>
    <row r="97" spans="1:16" ht="15.75" customHeight="1" x14ac:dyDescent="0.3">
      <c r="A97" s="50"/>
      <c r="B97" s="50"/>
      <c r="C97" s="48"/>
      <c r="D97" s="57"/>
      <c r="E97" s="57"/>
      <c r="F97" s="57"/>
      <c r="G97" s="50"/>
      <c r="H97" s="48"/>
      <c r="I97" s="56"/>
      <c r="J97" s="1"/>
      <c r="K97" s="1"/>
      <c r="L97" s="1"/>
      <c r="M97" s="1"/>
      <c r="N97" s="1"/>
      <c r="O97" s="1"/>
      <c r="P97" s="1"/>
    </row>
    <row r="98" spans="1:16" ht="15.75" customHeight="1" x14ac:dyDescent="0.3">
      <c r="A98" s="50"/>
      <c r="B98" s="50"/>
      <c r="C98" s="48"/>
      <c r="D98" s="57"/>
      <c r="E98" s="57"/>
      <c r="F98" s="57"/>
      <c r="G98" s="50"/>
      <c r="H98" s="48"/>
      <c r="I98" s="56"/>
      <c r="J98" s="1"/>
      <c r="K98" s="1"/>
      <c r="L98" s="1"/>
      <c r="M98" s="1"/>
      <c r="N98" s="1"/>
      <c r="O98" s="1"/>
      <c r="P98" s="1"/>
    </row>
    <row r="99" spans="1:16" ht="15.75" customHeight="1" x14ac:dyDescent="0.3">
      <c r="A99" s="50"/>
      <c r="B99" s="50"/>
      <c r="C99" s="48"/>
      <c r="D99" s="57"/>
      <c r="E99" s="57"/>
      <c r="F99" s="57"/>
      <c r="G99" s="50"/>
      <c r="H99" s="48"/>
      <c r="I99" s="56"/>
      <c r="J99" s="1"/>
      <c r="K99" s="1"/>
      <c r="L99" s="1"/>
      <c r="M99" s="1"/>
      <c r="N99" s="1"/>
      <c r="O99" s="1"/>
      <c r="P99" s="1"/>
    </row>
    <row r="100" spans="1:16" ht="15.75" customHeight="1" x14ac:dyDescent="0.3">
      <c r="A100" s="50"/>
      <c r="B100" s="50"/>
      <c r="C100" s="48"/>
      <c r="D100" s="57"/>
      <c r="E100" s="57"/>
      <c r="F100" s="57"/>
      <c r="G100" s="50"/>
      <c r="H100" s="48"/>
      <c r="I100" s="56"/>
      <c r="J100" s="1"/>
      <c r="K100" s="1"/>
      <c r="L100" s="1"/>
      <c r="M100" s="1"/>
      <c r="N100" s="1"/>
      <c r="O100" s="1"/>
      <c r="P100" s="1"/>
    </row>
    <row r="101" spans="1:16" ht="15.75" customHeight="1" x14ac:dyDescent="0.3"/>
    <row r="102" spans="1:16" ht="15.75" customHeight="1" x14ac:dyDescent="0.3"/>
    <row r="103" spans="1:16" ht="15.75" customHeight="1" x14ac:dyDescent="0.3"/>
    <row r="104" spans="1:16" ht="15.75" customHeight="1" x14ac:dyDescent="0.3"/>
    <row r="105" spans="1:16" ht="15.75" customHeight="1" x14ac:dyDescent="0.3"/>
    <row r="106" spans="1:16" ht="15.75" customHeight="1" x14ac:dyDescent="0.3"/>
    <row r="107" spans="1:16" ht="15.75" customHeight="1" x14ac:dyDescent="0.3"/>
    <row r="108" spans="1:16" ht="15.75" customHeight="1" x14ac:dyDescent="0.3"/>
    <row r="109" spans="1:16" ht="15.75" customHeight="1" x14ac:dyDescent="0.3"/>
    <row r="110" spans="1:16" ht="15.75" customHeight="1" x14ac:dyDescent="0.3"/>
    <row r="111" spans="1:16" ht="15.75" customHeight="1" x14ac:dyDescent="0.3"/>
    <row r="112" spans="1:16"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L7:M7"/>
  </mergeCells>
  <printOptions horizontalCentered="1"/>
  <pageMargins left="0.7" right="0.7" top="0.5" bottom="0.5" header="0" footer="0"/>
  <pageSetup paperSize="9" scale="1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0"/>
  <sheetViews>
    <sheetView workbookViewId="0">
      <pane ySplit="7" topLeftCell="A8" activePane="bottomLeft" state="frozen"/>
      <selection pane="bottomLeft" activeCell="B9" sqref="B9"/>
    </sheetView>
  </sheetViews>
  <sheetFormatPr defaultColWidth="11.19921875" defaultRowHeight="15" customHeight="1" x14ac:dyDescent="0.3"/>
  <cols>
    <col min="1" max="1" width="10" customWidth="1"/>
    <col min="2" max="2" width="27.8984375" customWidth="1"/>
    <col min="3" max="3" width="10.3984375" customWidth="1"/>
    <col min="4" max="4" width="8.09765625" customWidth="1"/>
    <col min="5" max="5" width="6.3984375" customWidth="1"/>
    <col min="6" max="6" width="11.09765625" customWidth="1"/>
    <col min="7" max="7" width="34.09765625" customWidth="1"/>
    <col min="8" max="8" width="12" customWidth="1"/>
    <col min="9" max="10" width="9.59765625" customWidth="1"/>
    <col min="11" max="11" width="10.59765625" customWidth="1"/>
    <col min="12" max="26" width="12.59765625" customWidth="1"/>
  </cols>
  <sheetData>
    <row r="1" spans="1:11" ht="16.2" x14ac:dyDescent="0.3">
      <c r="A1" s="50"/>
      <c r="B1" s="112"/>
      <c r="C1" s="113"/>
      <c r="D1" s="114"/>
      <c r="E1" s="114"/>
      <c r="F1" s="115"/>
      <c r="G1" s="116"/>
      <c r="H1" s="116"/>
      <c r="I1" s="116"/>
      <c r="J1" s="116"/>
      <c r="K1" s="116"/>
    </row>
    <row r="2" spans="1:11" ht="16.2" x14ac:dyDescent="0.3">
      <c r="A2" s="50"/>
      <c r="B2" s="117" t="s">
        <v>240</v>
      </c>
      <c r="C2" s="112" t="s">
        <v>241</v>
      </c>
      <c r="D2" s="114"/>
      <c r="E2" s="114"/>
      <c r="F2" s="115"/>
      <c r="G2" s="116"/>
      <c r="H2" s="116"/>
      <c r="I2" s="116"/>
      <c r="J2" s="116"/>
      <c r="K2" s="116"/>
    </row>
    <row r="3" spans="1:11" ht="16.2" x14ac:dyDescent="0.3">
      <c r="A3" s="50"/>
      <c r="B3" s="117" t="s">
        <v>242</v>
      </c>
      <c r="C3" s="112" t="s">
        <v>294</v>
      </c>
      <c r="D3" s="114"/>
      <c r="E3" s="114"/>
      <c r="F3" s="115"/>
      <c r="G3" s="116"/>
      <c r="H3" s="116"/>
      <c r="I3" s="116"/>
      <c r="J3" s="116"/>
      <c r="K3" s="116"/>
    </row>
    <row r="4" spans="1:11" ht="16.2" x14ac:dyDescent="0.3">
      <c r="A4" s="50"/>
      <c r="B4" s="116"/>
      <c r="C4" s="112" t="s">
        <v>295</v>
      </c>
      <c r="D4" s="114"/>
      <c r="E4" s="114"/>
      <c r="F4" s="115"/>
      <c r="G4" s="116"/>
      <c r="H4" s="116"/>
      <c r="I4" s="116"/>
      <c r="J4" s="116"/>
      <c r="K4" s="116"/>
    </row>
    <row r="5" spans="1:11" ht="16.2" x14ac:dyDescent="0.3">
      <c r="A5" s="50"/>
      <c r="B5" s="114"/>
      <c r="C5" s="112"/>
      <c r="D5" s="114"/>
      <c r="E5" s="42"/>
      <c r="F5" s="118"/>
      <c r="G5" s="116"/>
      <c r="H5" s="116"/>
      <c r="I5" s="116"/>
      <c r="J5" s="116"/>
      <c r="K5" s="116"/>
    </row>
    <row r="6" spans="1:11" ht="15.6" x14ac:dyDescent="0.3">
      <c r="A6" s="50"/>
      <c r="B6" s="119"/>
      <c r="C6" s="119"/>
      <c r="D6" s="45"/>
      <c r="E6" s="120" t="s">
        <v>245</v>
      </c>
      <c r="F6" s="121">
        <f ca="1">TODAY()</f>
        <v>45569</v>
      </c>
      <c r="G6" s="116"/>
      <c r="H6" s="116"/>
      <c r="I6" s="116"/>
      <c r="J6" s="116"/>
      <c r="K6" s="116"/>
    </row>
    <row r="7" spans="1:11" ht="31.2" x14ac:dyDescent="0.3">
      <c r="A7" s="60" t="s">
        <v>0</v>
      </c>
      <c r="B7" s="122" t="s">
        <v>3</v>
      </c>
      <c r="C7" s="122" t="s">
        <v>247</v>
      </c>
      <c r="D7" s="122" t="s">
        <v>4</v>
      </c>
      <c r="E7" s="123" t="s">
        <v>7</v>
      </c>
      <c r="F7" s="123" t="s">
        <v>16</v>
      </c>
      <c r="G7" s="124"/>
      <c r="H7" s="124"/>
      <c r="I7" s="124"/>
      <c r="J7" s="124"/>
      <c r="K7" s="124"/>
    </row>
    <row r="8" spans="1:11" ht="15.6" x14ac:dyDescent="0.3">
      <c r="A8" s="125"/>
      <c r="B8" s="126" t="s">
        <v>249</v>
      </c>
      <c r="C8" s="127"/>
      <c r="D8" s="128"/>
      <c r="E8" s="129"/>
      <c r="F8" s="130"/>
      <c r="G8" s="116"/>
      <c r="H8" s="131"/>
      <c r="I8" s="116"/>
      <c r="J8" s="116"/>
      <c r="K8" s="116"/>
    </row>
    <row r="9" spans="1:11" ht="31.2" x14ac:dyDescent="0.3">
      <c r="A9" s="79">
        <v>1</v>
      </c>
      <c r="B9" s="132" t="s">
        <v>296</v>
      </c>
      <c r="C9" s="133"/>
      <c r="D9" s="134">
        <f>((2358+277+2077)-644)+3830</f>
        <v>7898</v>
      </c>
      <c r="E9" s="42" t="s">
        <v>254</v>
      </c>
      <c r="F9" s="135">
        <f t="shared" ref="F9:F18" si="0">C9*D9</f>
        <v>0</v>
      </c>
      <c r="G9" s="116" t="s">
        <v>255</v>
      </c>
      <c r="H9" s="116"/>
      <c r="I9" s="116"/>
      <c r="J9" s="116"/>
      <c r="K9" s="116"/>
    </row>
    <row r="10" spans="1:11" ht="46.8" x14ac:dyDescent="0.3">
      <c r="A10" s="79">
        <v>2</v>
      </c>
      <c r="B10" s="132" t="s">
        <v>297</v>
      </c>
      <c r="C10" s="133"/>
      <c r="D10" s="134">
        <f>644+292</f>
        <v>936</v>
      </c>
      <c r="E10" s="42" t="s">
        <v>254</v>
      </c>
      <c r="F10" s="135">
        <f t="shared" si="0"/>
        <v>0</v>
      </c>
      <c r="G10" s="116" t="s">
        <v>258</v>
      </c>
      <c r="H10" s="116"/>
      <c r="I10" s="116" t="s">
        <v>298</v>
      </c>
      <c r="J10" s="116"/>
      <c r="K10" s="116"/>
    </row>
    <row r="11" spans="1:11" ht="31.2" x14ac:dyDescent="0.3">
      <c r="A11" s="79">
        <v>3</v>
      </c>
      <c r="B11" s="132" t="s">
        <v>299</v>
      </c>
      <c r="C11" s="136"/>
      <c r="D11" s="134">
        <f>206-78</f>
        <v>128</v>
      </c>
      <c r="E11" s="42" t="s">
        <v>254</v>
      </c>
      <c r="F11" s="135">
        <f t="shared" si="0"/>
        <v>0</v>
      </c>
      <c r="G11" s="116" t="s">
        <v>259</v>
      </c>
      <c r="H11" s="116"/>
      <c r="I11" s="116" t="s">
        <v>300</v>
      </c>
      <c r="J11" s="116"/>
      <c r="K11" s="116"/>
    </row>
    <row r="12" spans="1:11" ht="46.8" x14ac:dyDescent="0.3">
      <c r="A12" s="79">
        <v>4</v>
      </c>
      <c r="B12" s="137" t="s">
        <v>301</v>
      </c>
      <c r="C12" s="136"/>
      <c r="D12" s="134">
        <v>78</v>
      </c>
      <c r="E12" s="42" t="s">
        <v>254</v>
      </c>
      <c r="F12" s="135">
        <f t="shared" si="0"/>
        <v>0</v>
      </c>
      <c r="G12" s="116" t="s">
        <v>259</v>
      </c>
      <c r="H12" s="138"/>
      <c r="I12" s="116"/>
      <c r="J12" s="116"/>
      <c r="K12" s="116"/>
    </row>
    <row r="13" spans="1:11" ht="31.2" x14ac:dyDescent="0.3">
      <c r="A13" s="79">
        <v>5</v>
      </c>
      <c r="B13" s="132" t="s">
        <v>302</v>
      </c>
      <c r="C13" s="139"/>
      <c r="D13" s="134">
        <v>148</v>
      </c>
      <c r="E13" s="42" t="s">
        <v>254</v>
      </c>
      <c r="F13" s="135">
        <f t="shared" si="0"/>
        <v>0</v>
      </c>
      <c r="G13" s="131" t="s">
        <v>265</v>
      </c>
      <c r="H13" s="138"/>
      <c r="I13" s="138"/>
      <c r="J13" s="138"/>
      <c r="K13" s="138"/>
    </row>
    <row r="14" spans="1:11" ht="31.2" x14ac:dyDescent="0.3">
      <c r="A14" s="79">
        <v>6</v>
      </c>
      <c r="B14" s="132" t="s">
        <v>268</v>
      </c>
      <c r="C14" s="139"/>
      <c r="D14" s="134">
        <f>2538+206+277+1343+2077+148</f>
        <v>6589</v>
      </c>
      <c r="E14" s="42" t="s">
        <v>254</v>
      </c>
      <c r="F14" s="135">
        <f t="shared" si="0"/>
        <v>0</v>
      </c>
      <c r="G14" s="116" t="s">
        <v>269</v>
      </c>
      <c r="H14" s="138"/>
      <c r="I14" s="138"/>
      <c r="J14" s="138"/>
      <c r="K14" s="138"/>
    </row>
    <row r="15" spans="1:11" ht="31.2" x14ac:dyDescent="0.3">
      <c r="A15" s="79">
        <v>7</v>
      </c>
      <c r="B15" s="132" t="s">
        <v>303</v>
      </c>
      <c r="C15" s="139"/>
      <c r="D15" s="134">
        <v>4968</v>
      </c>
      <c r="E15" s="42" t="s">
        <v>254</v>
      </c>
      <c r="F15" s="135">
        <f t="shared" si="0"/>
        <v>0</v>
      </c>
      <c r="G15" s="116" t="s">
        <v>273</v>
      </c>
      <c r="H15" s="138"/>
      <c r="I15" s="138"/>
      <c r="J15" s="138"/>
      <c r="K15" s="138"/>
    </row>
    <row r="16" spans="1:11" ht="31.2" x14ac:dyDescent="0.3">
      <c r="A16" s="79">
        <v>8</v>
      </c>
      <c r="B16" s="132" t="s">
        <v>304</v>
      </c>
      <c r="C16" s="139"/>
      <c r="D16" s="134">
        <v>277</v>
      </c>
      <c r="E16" s="42" t="s">
        <v>254</v>
      </c>
      <c r="F16" s="135">
        <f t="shared" si="0"/>
        <v>0</v>
      </c>
      <c r="G16" s="116" t="s">
        <v>263</v>
      </c>
      <c r="H16" s="138"/>
      <c r="I16" s="138"/>
      <c r="J16" s="138"/>
      <c r="K16" s="138"/>
    </row>
    <row r="17" spans="1:11" ht="15.6" x14ac:dyDescent="0.3">
      <c r="A17" s="50">
        <v>9</v>
      </c>
      <c r="B17" s="132" t="s">
        <v>305</v>
      </c>
      <c r="C17" s="139"/>
      <c r="D17" s="134">
        <f>2538+206+2077</f>
        <v>4821</v>
      </c>
      <c r="E17" s="42" t="s">
        <v>254</v>
      </c>
      <c r="F17" s="135">
        <f t="shared" si="0"/>
        <v>0</v>
      </c>
      <c r="G17" s="116" t="s">
        <v>282</v>
      </c>
      <c r="H17" s="138"/>
      <c r="I17" s="138"/>
      <c r="J17" s="138"/>
      <c r="K17" s="138"/>
    </row>
    <row r="18" spans="1:11" ht="31.2" x14ac:dyDescent="0.3">
      <c r="A18" s="50">
        <v>10</v>
      </c>
      <c r="B18" s="132" t="s">
        <v>306</v>
      </c>
      <c r="C18" s="139"/>
      <c r="D18" s="134">
        <v>148</v>
      </c>
      <c r="E18" s="42" t="s">
        <v>254</v>
      </c>
      <c r="F18" s="135">
        <f t="shared" si="0"/>
        <v>0</v>
      </c>
      <c r="G18" s="116" t="s">
        <v>265</v>
      </c>
      <c r="H18" s="140" t="s">
        <v>307</v>
      </c>
      <c r="I18" s="138"/>
      <c r="J18" s="138"/>
      <c r="K18" s="138"/>
    </row>
    <row r="19" spans="1:11" ht="15.6" x14ac:dyDescent="0.3">
      <c r="A19" s="50"/>
      <c r="B19" s="132"/>
      <c r="C19" s="136"/>
      <c r="D19" s="134"/>
      <c r="E19" s="42"/>
      <c r="F19" s="135"/>
      <c r="G19" s="116"/>
      <c r="H19" s="42" t="s">
        <v>256</v>
      </c>
      <c r="I19" s="131">
        <v>2538</v>
      </c>
      <c r="J19" s="116">
        <v>2520</v>
      </c>
      <c r="K19" s="116"/>
    </row>
    <row r="20" spans="1:11" ht="15.6" x14ac:dyDescent="0.3">
      <c r="A20" s="141" t="s">
        <v>308</v>
      </c>
      <c r="B20" s="142"/>
      <c r="C20" s="143"/>
      <c r="D20" s="144"/>
      <c r="E20" s="145"/>
      <c r="F20" s="146">
        <f>SUM(F9:F18)</f>
        <v>0</v>
      </c>
      <c r="G20" s="116"/>
      <c r="H20" s="42" t="s">
        <v>259</v>
      </c>
      <c r="I20" s="131">
        <v>205</v>
      </c>
      <c r="J20" s="116">
        <v>206</v>
      </c>
      <c r="K20" s="116"/>
    </row>
    <row r="21" spans="1:11" ht="15.75" customHeight="1" x14ac:dyDescent="0.3">
      <c r="A21" s="50"/>
      <c r="B21" s="147" t="s">
        <v>287</v>
      </c>
      <c r="C21" s="119"/>
      <c r="D21" s="45"/>
      <c r="E21" s="42"/>
      <c r="F21" s="118"/>
      <c r="G21" s="116"/>
      <c r="H21" s="42" t="s">
        <v>261</v>
      </c>
      <c r="I21" s="131" t="s">
        <v>309</v>
      </c>
      <c r="J21" s="116"/>
      <c r="K21" s="116"/>
    </row>
    <row r="22" spans="1:11" ht="15.75" customHeight="1" x14ac:dyDescent="0.3">
      <c r="A22" s="50">
        <v>1</v>
      </c>
      <c r="B22" s="119" t="s">
        <v>288</v>
      </c>
      <c r="C22" s="119"/>
      <c r="D22" s="45"/>
      <c r="E22" s="42"/>
      <c r="F22" s="118"/>
      <c r="G22" s="148"/>
      <c r="H22" s="42" t="s">
        <v>263</v>
      </c>
      <c r="I22" s="131">
        <v>277</v>
      </c>
      <c r="J22" s="116">
        <v>290</v>
      </c>
      <c r="K22" s="116"/>
    </row>
    <row r="23" spans="1:11" ht="15.75" customHeight="1" x14ac:dyDescent="0.3">
      <c r="A23" s="50">
        <v>2</v>
      </c>
      <c r="B23" s="119" t="s">
        <v>289</v>
      </c>
      <c r="C23" s="119"/>
      <c r="D23" s="45"/>
      <c r="E23" s="42"/>
      <c r="F23" s="118"/>
      <c r="G23" s="116"/>
      <c r="H23" s="42" t="s">
        <v>266</v>
      </c>
      <c r="I23" s="131">
        <v>1342</v>
      </c>
      <c r="J23" s="116">
        <v>1200</v>
      </c>
      <c r="K23" s="116"/>
    </row>
    <row r="24" spans="1:11" ht="15.75" customHeight="1" x14ac:dyDescent="0.3">
      <c r="A24" s="50">
        <v>3</v>
      </c>
      <c r="B24" s="119" t="s">
        <v>290</v>
      </c>
      <c r="C24" s="119"/>
      <c r="D24" s="45"/>
      <c r="E24" s="42"/>
      <c r="F24" s="118"/>
      <c r="G24" s="116"/>
      <c r="H24" s="42" t="s">
        <v>270</v>
      </c>
      <c r="I24" s="131">
        <v>2077</v>
      </c>
      <c r="J24" s="116">
        <v>2670</v>
      </c>
      <c r="K24" s="116"/>
    </row>
    <row r="25" spans="1:11" ht="15.75" customHeight="1" x14ac:dyDescent="0.3">
      <c r="A25" s="50">
        <v>4</v>
      </c>
      <c r="B25" s="149" t="s">
        <v>291</v>
      </c>
      <c r="C25" s="119"/>
      <c r="D25" s="45"/>
      <c r="E25" s="42"/>
      <c r="F25" s="118"/>
      <c r="G25" s="116"/>
      <c r="H25" s="42" t="s">
        <v>265</v>
      </c>
      <c r="I25" s="131">
        <v>148</v>
      </c>
      <c r="J25" s="116">
        <v>150</v>
      </c>
      <c r="K25" s="116"/>
    </row>
    <row r="26" spans="1:11" ht="15.75" customHeight="1" x14ac:dyDescent="0.3">
      <c r="A26" s="50">
        <v>5</v>
      </c>
      <c r="B26" s="149" t="s">
        <v>292</v>
      </c>
      <c r="C26" s="119"/>
      <c r="D26" s="45"/>
      <c r="E26" s="42"/>
      <c r="F26" s="118"/>
      <c r="G26" s="116"/>
      <c r="H26" s="42" t="s">
        <v>276</v>
      </c>
      <c r="I26" s="131">
        <v>22</v>
      </c>
      <c r="J26" s="116">
        <v>20</v>
      </c>
      <c r="K26" s="116" t="s">
        <v>310</v>
      </c>
    </row>
    <row r="27" spans="1:11" ht="15.75" customHeight="1" x14ac:dyDescent="0.3">
      <c r="A27" s="50">
        <v>6</v>
      </c>
      <c r="B27" s="150"/>
      <c r="C27" s="119"/>
      <c r="D27" s="45"/>
      <c r="E27" s="42"/>
      <c r="F27" s="118"/>
      <c r="G27" s="116"/>
      <c r="H27" s="42" t="s">
        <v>279</v>
      </c>
      <c r="I27" s="131">
        <v>3830</v>
      </c>
      <c r="J27" s="116"/>
      <c r="K27" s="116"/>
    </row>
    <row r="28" spans="1:11" ht="15.75" customHeight="1" x14ac:dyDescent="0.3">
      <c r="A28" s="50"/>
      <c r="B28" s="150"/>
      <c r="C28" s="119"/>
      <c r="D28" s="45"/>
      <c r="E28" s="42"/>
      <c r="F28" s="118"/>
      <c r="G28" s="116"/>
      <c r="H28" s="42" t="s">
        <v>311</v>
      </c>
      <c r="I28" s="131">
        <v>292</v>
      </c>
      <c r="J28" s="116"/>
      <c r="K28" s="116"/>
    </row>
    <row r="29" spans="1:11" ht="15.75" customHeight="1" x14ac:dyDescent="0.3">
      <c r="A29" s="50"/>
      <c r="B29" s="150"/>
      <c r="C29" s="119"/>
      <c r="D29" s="45"/>
      <c r="E29" s="42"/>
      <c r="F29" s="118"/>
      <c r="G29" s="116"/>
      <c r="H29" s="42"/>
      <c r="I29" s="131"/>
      <c r="J29" s="116"/>
      <c r="K29" s="116"/>
    </row>
    <row r="30" spans="1:11" ht="15.75" customHeight="1" x14ac:dyDescent="0.3">
      <c r="A30" s="50"/>
      <c r="B30" s="150"/>
      <c r="C30" s="119"/>
      <c r="D30" s="45"/>
      <c r="E30" s="42"/>
      <c r="F30" s="118"/>
      <c r="G30" s="116"/>
      <c r="H30" s="42"/>
      <c r="I30" s="131"/>
      <c r="J30" s="116"/>
      <c r="K30" s="116"/>
    </row>
    <row r="31" spans="1:11" ht="15.75" customHeight="1" x14ac:dyDescent="0.3">
      <c r="A31" s="50"/>
      <c r="B31" s="150" t="s">
        <v>312</v>
      </c>
      <c r="C31" s="119"/>
      <c r="D31" s="45"/>
      <c r="E31" s="42"/>
      <c r="F31" s="118"/>
      <c r="G31" s="116"/>
      <c r="H31" s="42"/>
      <c r="I31" s="131"/>
      <c r="J31" s="116"/>
      <c r="K31" s="116"/>
    </row>
    <row r="32" spans="1:11" ht="18" customHeight="1" x14ac:dyDescent="0.3">
      <c r="A32" s="50"/>
      <c r="B32" s="147" t="s">
        <v>313</v>
      </c>
      <c r="C32" s="119"/>
      <c r="D32" s="45"/>
      <c r="E32" s="42"/>
      <c r="F32" s="118"/>
      <c r="G32" s="151" t="s">
        <v>314</v>
      </c>
      <c r="H32" s="116" t="s">
        <v>315</v>
      </c>
      <c r="I32" s="116"/>
      <c r="J32" s="116"/>
      <c r="K32" s="116"/>
    </row>
    <row r="33" spans="1:11" ht="15.75" customHeight="1" x14ac:dyDescent="0.3">
      <c r="A33" s="50"/>
      <c r="B33" s="119" t="s">
        <v>316</v>
      </c>
      <c r="C33" s="119"/>
      <c r="D33" s="45"/>
      <c r="E33" s="42"/>
      <c r="F33" s="118"/>
      <c r="G33" s="80" t="s">
        <v>317</v>
      </c>
      <c r="H33" s="116"/>
      <c r="I33" s="116"/>
      <c r="J33" s="116"/>
      <c r="K33" s="116"/>
    </row>
    <row r="34" spans="1:11" ht="15.75" customHeight="1" x14ac:dyDescent="0.3">
      <c r="A34" s="50"/>
      <c r="B34" s="119"/>
      <c r="C34" s="119"/>
      <c r="D34" s="45"/>
      <c r="E34" s="42"/>
      <c r="F34" s="118"/>
      <c r="G34" s="116"/>
      <c r="H34" s="116"/>
      <c r="I34" s="116"/>
      <c r="J34" s="116"/>
      <c r="K34" s="116"/>
    </row>
    <row r="35" spans="1:11" ht="15.75" customHeight="1" x14ac:dyDescent="0.3">
      <c r="A35" s="50"/>
      <c r="B35" s="152" t="s">
        <v>318</v>
      </c>
      <c r="C35" s="119"/>
      <c r="D35" s="45"/>
      <c r="E35" s="42"/>
      <c r="F35" s="118"/>
      <c r="G35" s="148" t="s">
        <v>319</v>
      </c>
      <c r="H35" s="116"/>
      <c r="I35" s="116"/>
      <c r="J35" s="116"/>
      <c r="K35" s="116"/>
    </row>
    <row r="36" spans="1:11" ht="15.75" customHeight="1" x14ac:dyDescent="0.3">
      <c r="A36" s="50"/>
      <c r="B36" s="153" t="s">
        <v>320</v>
      </c>
      <c r="C36" s="119"/>
      <c r="D36" s="45"/>
      <c r="E36" s="42"/>
      <c r="F36" s="118"/>
      <c r="G36" s="111" t="s">
        <v>321</v>
      </c>
      <c r="H36" s="116"/>
      <c r="I36" s="116"/>
      <c r="J36" s="116"/>
      <c r="K36" s="116"/>
    </row>
    <row r="37" spans="1:11" ht="15.75" customHeight="1" x14ac:dyDescent="0.3">
      <c r="A37" s="50"/>
      <c r="B37" s="119"/>
      <c r="C37" s="119"/>
      <c r="D37" s="45"/>
      <c r="E37" s="42"/>
      <c r="F37" s="118"/>
      <c r="G37" s="116"/>
      <c r="H37" s="116"/>
      <c r="I37" s="116"/>
      <c r="J37" s="116"/>
      <c r="K37" s="116"/>
    </row>
    <row r="38" spans="1:11" ht="15.75" customHeight="1" x14ac:dyDescent="0.3">
      <c r="A38" s="50"/>
      <c r="B38" s="147" t="s">
        <v>322</v>
      </c>
      <c r="C38" s="119"/>
      <c r="D38" s="45"/>
      <c r="E38" s="42"/>
      <c r="F38" s="118"/>
      <c r="G38" s="148" t="s">
        <v>323</v>
      </c>
      <c r="H38" s="116"/>
      <c r="I38" s="116"/>
      <c r="J38" s="116"/>
      <c r="K38" s="116"/>
    </row>
    <row r="39" spans="1:11" ht="15.75" customHeight="1" x14ac:dyDescent="0.3">
      <c r="A39" s="50"/>
      <c r="B39" s="119" t="s">
        <v>324</v>
      </c>
      <c r="C39" s="119"/>
      <c r="D39" s="45"/>
      <c r="E39" s="42"/>
      <c r="F39" s="118"/>
      <c r="G39" s="149" t="s">
        <v>325</v>
      </c>
      <c r="H39" s="116"/>
      <c r="I39" s="116"/>
      <c r="J39" s="116"/>
      <c r="K39" s="116"/>
    </row>
    <row r="40" spans="1:11" ht="15.75" customHeight="1" x14ac:dyDescent="0.3">
      <c r="A40" s="50"/>
      <c r="B40" s="147" t="s">
        <v>326</v>
      </c>
      <c r="C40" s="119"/>
      <c r="D40" s="45"/>
      <c r="E40" s="42"/>
      <c r="F40" s="118"/>
      <c r="G40" s="116"/>
      <c r="H40" s="116"/>
      <c r="I40" s="116"/>
      <c r="J40" s="116"/>
      <c r="K40" s="116"/>
    </row>
    <row r="41" spans="1:11" ht="15.75" customHeight="1" x14ac:dyDescent="0.3">
      <c r="A41" s="50"/>
      <c r="B41" s="119" t="s">
        <v>327</v>
      </c>
      <c r="C41" s="119"/>
      <c r="D41" s="45"/>
      <c r="E41" s="42"/>
      <c r="F41" s="118"/>
      <c r="G41" s="116"/>
      <c r="H41" s="116"/>
      <c r="I41" s="116"/>
      <c r="J41" s="116"/>
      <c r="K41" s="116"/>
    </row>
    <row r="42" spans="1:11" ht="15.75" customHeight="1" x14ac:dyDescent="0.3">
      <c r="A42" s="50"/>
      <c r="B42" s="119"/>
      <c r="C42" s="119"/>
      <c r="D42" s="45"/>
      <c r="E42" s="42"/>
      <c r="F42" s="118"/>
      <c r="G42" s="116"/>
      <c r="H42" s="116"/>
      <c r="I42" s="116"/>
      <c r="J42" s="116"/>
      <c r="K42" s="116"/>
    </row>
    <row r="43" spans="1:11" ht="15.75" customHeight="1" x14ac:dyDescent="0.3">
      <c r="A43" s="50"/>
      <c r="B43" s="119"/>
      <c r="C43" s="119"/>
      <c r="D43" s="45"/>
      <c r="E43" s="42"/>
      <c r="F43" s="118"/>
      <c r="G43" s="116"/>
      <c r="H43" s="116"/>
      <c r="I43" s="116"/>
      <c r="J43" s="116"/>
      <c r="K43" s="116"/>
    </row>
    <row r="44" spans="1:11" ht="15.75" customHeight="1" x14ac:dyDescent="0.3">
      <c r="A44" s="50"/>
      <c r="B44" s="119"/>
      <c r="C44" s="119"/>
      <c r="D44" s="45"/>
      <c r="E44" s="42"/>
      <c r="F44" s="118"/>
      <c r="G44" s="116"/>
      <c r="H44" s="116"/>
      <c r="I44" s="116"/>
      <c r="J44" s="116"/>
      <c r="K44" s="116"/>
    </row>
    <row r="45" spans="1:11" ht="15.75" customHeight="1" x14ac:dyDescent="0.3">
      <c r="A45" s="50"/>
      <c r="B45" s="119"/>
      <c r="C45" s="119"/>
      <c r="D45" s="45"/>
      <c r="E45" s="42"/>
      <c r="F45" s="118"/>
      <c r="G45" s="116"/>
      <c r="H45" s="116"/>
      <c r="I45" s="116"/>
      <c r="J45" s="116"/>
      <c r="K45" s="116"/>
    </row>
    <row r="46" spans="1:11" ht="15.75" customHeight="1" x14ac:dyDescent="0.3">
      <c r="A46" s="50"/>
      <c r="B46" s="119"/>
      <c r="C46" s="119"/>
      <c r="D46" s="45"/>
      <c r="E46" s="42"/>
      <c r="F46" s="118"/>
      <c r="G46" s="116"/>
      <c r="H46" s="116"/>
      <c r="I46" s="116"/>
      <c r="J46" s="116"/>
      <c r="K46" s="116"/>
    </row>
    <row r="47" spans="1:11" ht="15.75" customHeight="1" x14ac:dyDescent="0.3">
      <c r="A47" s="50"/>
      <c r="B47" s="119"/>
      <c r="C47" s="119"/>
      <c r="D47" s="45"/>
      <c r="E47" s="42"/>
      <c r="F47" s="118"/>
      <c r="G47" s="116"/>
      <c r="H47" s="116"/>
      <c r="I47" s="116"/>
      <c r="J47" s="116"/>
      <c r="K47" s="116"/>
    </row>
    <row r="48" spans="1:11" ht="15.75" customHeight="1" x14ac:dyDescent="0.3">
      <c r="A48" s="50"/>
      <c r="B48" s="119"/>
      <c r="C48" s="119"/>
      <c r="D48" s="45"/>
      <c r="E48" s="42"/>
      <c r="F48" s="118"/>
      <c r="G48" s="116"/>
      <c r="H48" s="116"/>
      <c r="I48" s="116"/>
      <c r="J48" s="116"/>
      <c r="K48" s="116"/>
    </row>
    <row r="49" spans="1:11" ht="15.75" customHeight="1" x14ac:dyDescent="0.3">
      <c r="A49" s="50"/>
      <c r="B49" s="119"/>
      <c r="C49" s="119"/>
      <c r="D49" s="45"/>
      <c r="E49" s="42"/>
      <c r="F49" s="118"/>
      <c r="G49" s="116"/>
      <c r="H49" s="116"/>
      <c r="I49" s="116"/>
      <c r="J49" s="116"/>
      <c r="K49" s="116"/>
    </row>
    <row r="50" spans="1:11" ht="15.75" customHeight="1" x14ac:dyDescent="0.3">
      <c r="A50" s="50"/>
      <c r="B50" s="119"/>
      <c r="C50" s="119"/>
      <c r="D50" s="45"/>
      <c r="E50" s="42"/>
      <c r="F50" s="118"/>
      <c r="G50" s="116"/>
      <c r="H50" s="116"/>
      <c r="I50" s="116"/>
      <c r="J50" s="116"/>
      <c r="K50" s="116"/>
    </row>
    <row r="51" spans="1:11" ht="15.75" customHeight="1" x14ac:dyDescent="0.3">
      <c r="A51" s="50"/>
      <c r="B51" s="119"/>
      <c r="C51" s="119"/>
      <c r="D51" s="45"/>
      <c r="E51" s="42"/>
      <c r="F51" s="118"/>
      <c r="G51" s="116"/>
      <c r="H51" s="116"/>
      <c r="I51" s="116"/>
      <c r="J51" s="116"/>
      <c r="K51" s="116"/>
    </row>
    <row r="52" spans="1:11" ht="15.75" customHeight="1" x14ac:dyDescent="0.3">
      <c r="A52" s="50"/>
      <c r="B52" s="119"/>
      <c r="C52" s="119"/>
      <c r="D52" s="45"/>
      <c r="E52" s="42"/>
      <c r="F52" s="118"/>
      <c r="G52" s="116"/>
      <c r="H52" s="116"/>
      <c r="I52" s="116"/>
      <c r="J52" s="116"/>
      <c r="K52" s="116"/>
    </row>
    <row r="53" spans="1:11" ht="15.75" customHeight="1" x14ac:dyDescent="0.3">
      <c r="A53" s="50"/>
      <c r="B53" s="119"/>
      <c r="C53" s="119"/>
      <c r="D53" s="45"/>
      <c r="E53" s="42"/>
      <c r="F53" s="118"/>
      <c r="G53" s="116"/>
      <c r="H53" s="116"/>
      <c r="I53" s="116"/>
      <c r="J53" s="116"/>
      <c r="K53" s="116"/>
    </row>
    <row r="54" spans="1:11" ht="15.75" customHeight="1" x14ac:dyDescent="0.3">
      <c r="A54" s="50"/>
      <c r="B54" s="119"/>
      <c r="C54" s="119"/>
      <c r="D54" s="45"/>
      <c r="E54" s="42"/>
      <c r="F54" s="118"/>
      <c r="G54" s="116"/>
      <c r="H54" s="116"/>
      <c r="I54" s="116"/>
      <c r="J54" s="116"/>
      <c r="K54" s="116"/>
    </row>
    <row r="55" spans="1:11" ht="15.75" customHeight="1" x14ac:dyDescent="0.3">
      <c r="A55" s="50"/>
      <c r="B55" s="119"/>
      <c r="C55" s="119"/>
      <c r="D55" s="45"/>
      <c r="E55" s="42"/>
      <c r="F55" s="118"/>
      <c r="G55" s="116"/>
      <c r="H55" s="116"/>
      <c r="I55" s="116"/>
      <c r="J55" s="116"/>
      <c r="K55" s="116"/>
    </row>
    <row r="56" spans="1:11" ht="15.75" customHeight="1" x14ac:dyDescent="0.3">
      <c r="A56" s="50"/>
      <c r="B56" s="119"/>
      <c r="C56" s="119"/>
      <c r="D56" s="45"/>
      <c r="E56" s="42"/>
      <c r="F56" s="118"/>
      <c r="G56" s="116"/>
      <c r="H56" s="116"/>
      <c r="I56" s="116"/>
      <c r="J56" s="116"/>
      <c r="K56" s="116"/>
    </row>
    <row r="57" spans="1:11" ht="15.75" customHeight="1" x14ac:dyDescent="0.3">
      <c r="A57" s="50"/>
      <c r="B57" s="119"/>
      <c r="C57" s="119"/>
      <c r="D57" s="45"/>
      <c r="E57" s="42"/>
      <c r="F57" s="118"/>
      <c r="G57" s="116"/>
      <c r="H57" s="116"/>
      <c r="I57" s="116"/>
      <c r="J57" s="116"/>
      <c r="K57" s="116"/>
    </row>
    <row r="58" spans="1:11" ht="15.75" customHeight="1" x14ac:dyDescent="0.3">
      <c r="A58" s="50"/>
      <c r="B58" s="119"/>
      <c r="C58" s="119"/>
      <c r="D58" s="45"/>
      <c r="E58" s="42"/>
      <c r="F58" s="118"/>
      <c r="G58" s="116"/>
      <c r="H58" s="116"/>
      <c r="I58" s="116"/>
      <c r="J58" s="116"/>
      <c r="K58" s="116"/>
    </row>
    <row r="59" spans="1:11" ht="15.75" customHeight="1" x14ac:dyDescent="0.3">
      <c r="A59" s="50"/>
      <c r="B59" s="119"/>
      <c r="C59" s="119"/>
      <c r="D59" s="45"/>
      <c r="E59" s="42"/>
      <c r="F59" s="118"/>
      <c r="G59" s="116"/>
      <c r="H59" s="116"/>
      <c r="I59" s="116"/>
      <c r="J59" s="116"/>
      <c r="K59" s="116"/>
    </row>
    <row r="60" spans="1:11" ht="15.75" customHeight="1" x14ac:dyDescent="0.3">
      <c r="A60" s="50"/>
      <c r="B60" s="119"/>
      <c r="C60" s="119"/>
      <c r="D60" s="45"/>
      <c r="E60" s="42"/>
      <c r="F60" s="118"/>
      <c r="G60" s="116"/>
      <c r="H60" s="116"/>
      <c r="I60" s="116"/>
      <c r="J60" s="116"/>
      <c r="K60" s="116"/>
    </row>
    <row r="61" spans="1:11" ht="15.75" customHeight="1" x14ac:dyDescent="0.3">
      <c r="A61" s="50"/>
      <c r="B61" s="119"/>
      <c r="C61" s="119"/>
      <c r="D61" s="45"/>
      <c r="E61" s="42"/>
      <c r="F61" s="118"/>
      <c r="G61" s="116"/>
      <c r="H61" s="116"/>
      <c r="I61" s="116"/>
      <c r="J61" s="116"/>
      <c r="K61" s="116"/>
    </row>
    <row r="62" spans="1:11" ht="15.75" customHeight="1" x14ac:dyDescent="0.3">
      <c r="A62" s="50"/>
      <c r="B62" s="119"/>
      <c r="C62" s="119"/>
      <c r="D62" s="45"/>
      <c r="E62" s="42"/>
      <c r="F62" s="118"/>
      <c r="G62" s="116"/>
      <c r="H62" s="116"/>
      <c r="I62" s="116"/>
      <c r="J62" s="116"/>
      <c r="K62" s="116"/>
    </row>
    <row r="63" spans="1:11" ht="15.75" customHeight="1" x14ac:dyDescent="0.3">
      <c r="A63" s="50"/>
      <c r="B63" s="119"/>
      <c r="C63" s="119"/>
      <c r="D63" s="45"/>
      <c r="E63" s="42"/>
      <c r="F63" s="118"/>
      <c r="G63" s="116"/>
      <c r="H63" s="116"/>
      <c r="I63" s="116"/>
      <c r="J63" s="116"/>
      <c r="K63" s="116"/>
    </row>
    <row r="64" spans="1:11" ht="15.75" customHeight="1" x14ac:dyDescent="0.3">
      <c r="A64" s="50"/>
      <c r="B64" s="119"/>
      <c r="C64" s="119"/>
      <c r="D64" s="45"/>
      <c r="E64" s="42"/>
      <c r="F64" s="118"/>
      <c r="G64" s="116"/>
      <c r="H64" s="116"/>
      <c r="I64" s="116"/>
      <c r="J64" s="116"/>
      <c r="K64" s="116"/>
    </row>
    <row r="65" spans="1:11" ht="15.75" customHeight="1" x14ac:dyDescent="0.3">
      <c r="A65" s="50"/>
      <c r="B65" s="119"/>
      <c r="C65" s="119"/>
      <c r="D65" s="45"/>
      <c r="E65" s="42"/>
      <c r="F65" s="118"/>
      <c r="G65" s="116"/>
      <c r="H65" s="116"/>
      <c r="I65" s="116"/>
      <c r="J65" s="116"/>
      <c r="K65" s="116"/>
    </row>
    <row r="66" spans="1:11" ht="15.75" customHeight="1" x14ac:dyDescent="0.3">
      <c r="A66" s="50"/>
      <c r="B66" s="119"/>
      <c r="C66" s="119"/>
      <c r="D66" s="45"/>
      <c r="E66" s="42"/>
      <c r="F66" s="118"/>
      <c r="G66" s="116"/>
      <c r="H66" s="116"/>
      <c r="I66" s="116"/>
      <c r="J66" s="116"/>
      <c r="K66" s="116"/>
    </row>
    <row r="67" spans="1:11" ht="15.75" customHeight="1" x14ac:dyDescent="0.3">
      <c r="A67" s="50"/>
      <c r="B67" s="119"/>
      <c r="C67" s="119"/>
      <c r="D67" s="45"/>
      <c r="E67" s="42"/>
      <c r="F67" s="118"/>
      <c r="G67" s="116"/>
      <c r="H67" s="116"/>
      <c r="I67" s="116"/>
      <c r="J67" s="116"/>
      <c r="K67" s="116"/>
    </row>
    <row r="68" spans="1:11" ht="15.75" customHeight="1" x14ac:dyDescent="0.3">
      <c r="A68" s="50"/>
      <c r="B68" s="119"/>
      <c r="C68" s="119"/>
      <c r="D68" s="45"/>
      <c r="E68" s="42"/>
      <c r="F68" s="118"/>
      <c r="G68" s="116"/>
      <c r="H68" s="116"/>
      <c r="I68" s="116"/>
      <c r="J68" s="116"/>
      <c r="K68" s="116"/>
    </row>
    <row r="69" spans="1:11" ht="15.75" customHeight="1" x14ac:dyDescent="0.3">
      <c r="A69" s="50"/>
      <c r="B69" s="119"/>
      <c r="C69" s="119"/>
      <c r="D69" s="45"/>
      <c r="E69" s="42"/>
      <c r="F69" s="118"/>
      <c r="G69" s="116"/>
      <c r="H69" s="116"/>
      <c r="I69" s="116"/>
      <c r="J69" s="116"/>
      <c r="K69" s="116"/>
    </row>
    <row r="70" spans="1:11" ht="15.75" customHeight="1" x14ac:dyDescent="0.3">
      <c r="A70" s="50"/>
      <c r="B70" s="119"/>
      <c r="C70" s="119"/>
      <c r="D70" s="45"/>
      <c r="E70" s="42"/>
      <c r="F70" s="118"/>
      <c r="G70" s="116"/>
      <c r="H70" s="116"/>
      <c r="I70" s="116"/>
      <c r="J70" s="116"/>
      <c r="K70" s="116"/>
    </row>
    <row r="71" spans="1:11" ht="15.75" customHeight="1" x14ac:dyDescent="0.3">
      <c r="A71" s="50"/>
      <c r="B71" s="119"/>
      <c r="C71" s="119"/>
      <c r="D71" s="45"/>
      <c r="E71" s="42"/>
      <c r="F71" s="118"/>
      <c r="G71" s="116"/>
      <c r="H71" s="116"/>
      <c r="I71" s="116"/>
      <c r="J71" s="116"/>
      <c r="K71" s="116"/>
    </row>
    <row r="72" spans="1:11" ht="15.75" customHeight="1" x14ac:dyDescent="0.3">
      <c r="A72" s="50"/>
      <c r="B72" s="119"/>
      <c r="C72" s="119"/>
      <c r="D72" s="45"/>
      <c r="E72" s="42"/>
      <c r="F72" s="118"/>
      <c r="G72" s="116"/>
      <c r="H72" s="116"/>
      <c r="I72" s="116"/>
      <c r="J72" s="116"/>
      <c r="K72" s="116"/>
    </row>
    <row r="73" spans="1:11" ht="15.75" customHeight="1" x14ac:dyDescent="0.3">
      <c r="A73" s="50"/>
      <c r="B73" s="119"/>
      <c r="C73" s="119"/>
      <c r="D73" s="45"/>
      <c r="E73" s="42"/>
      <c r="F73" s="118"/>
      <c r="G73" s="116"/>
      <c r="H73" s="116"/>
      <c r="I73" s="116"/>
      <c r="J73" s="116"/>
      <c r="K73" s="116"/>
    </row>
    <row r="74" spans="1:11" ht="15.75" customHeight="1" x14ac:dyDescent="0.3">
      <c r="A74" s="50"/>
      <c r="B74" s="119"/>
      <c r="C74" s="119"/>
      <c r="D74" s="45"/>
      <c r="E74" s="42"/>
      <c r="F74" s="118"/>
      <c r="G74" s="116"/>
      <c r="H74" s="116"/>
      <c r="I74" s="116"/>
      <c r="J74" s="116"/>
      <c r="K74" s="116"/>
    </row>
    <row r="75" spans="1:11" ht="15.75" customHeight="1" x14ac:dyDescent="0.3">
      <c r="A75" s="50"/>
      <c r="B75" s="119"/>
      <c r="C75" s="119"/>
      <c r="D75" s="45"/>
      <c r="E75" s="42"/>
      <c r="F75" s="118"/>
      <c r="G75" s="116"/>
      <c r="H75" s="116"/>
      <c r="I75" s="116"/>
      <c r="J75" s="116"/>
      <c r="K75" s="116"/>
    </row>
    <row r="76" spans="1:11" ht="15.75" customHeight="1" x14ac:dyDescent="0.3">
      <c r="A76" s="50"/>
      <c r="B76" s="119"/>
      <c r="C76" s="119"/>
      <c r="D76" s="45"/>
      <c r="E76" s="42"/>
      <c r="F76" s="118"/>
      <c r="G76" s="116"/>
      <c r="H76" s="116"/>
      <c r="I76" s="116"/>
      <c r="J76" s="116"/>
      <c r="K76" s="116"/>
    </row>
    <row r="77" spans="1:11" ht="15.75" customHeight="1" x14ac:dyDescent="0.3">
      <c r="A77" s="50"/>
      <c r="B77" s="119"/>
      <c r="C77" s="119"/>
      <c r="D77" s="45"/>
      <c r="E77" s="42"/>
      <c r="F77" s="118"/>
      <c r="G77" s="116"/>
      <c r="H77" s="116"/>
      <c r="I77" s="116"/>
      <c r="J77" s="116"/>
      <c r="K77" s="116"/>
    </row>
    <row r="78" spans="1:11" ht="15.75" customHeight="1" x14ac:dyDescent="0.3">
      <c r="A78" s="50"/>
      <c r="B78" s="119"/>
      <c r="C78" s="119"/>
      <c r="D78" s="45"/>
      <c r="E78" s="42"/>
      <c r="F78" s="118"/>
      <c r="G78" s="116"/>
      <c r="H78" s="116"/>
      <c r="I78" s="116"/>
      <c r="J78" s="116"/>
      <c r="K78" s="116"/>
    </row>
    <row r="79" spans="1:11" ht="15.75" customHeight="1" x14ac:dyDescent="0.3">
      <c r="A79" s="50"/>
      <c r="B79" s="119"/>
      <c r="C79" s="119"/>
      <c r="D79" s="45"/>
      <c r="E79" s="42"/>
      <c r="F79" s="118"/>
      <c r="G79" s="116"/>
      <c r="H79" s="116"/>
      <c r="I79" s="116"/>
      <c r="J79" s="116"/>
      <c r="K79" s="116"/>
    </row>
    <row r="80" spans="1:11" ht="15.75" customHeight="1" x14ac:dyDescent="0.3">
      <c r="A80" s="50"/>
      <c r="B80" s="119"/>
      <c r="C80" s="119"/>
      <c r="D80" s="45"/>
      <c r="E80" s="42"/>
      <c r="F80" s="118"/>
      <c r="G80" s="116"/>
      <c r="H80" s="116"/>
      <c r="I80" s="116"/>
      <c r="J80" s="116"/>
      <c r="K80" s="116"/>
    </row>
    <row r="81" spans="1:11" ht="15.75" customHeight="1" x14ac:dyDescent="0.3">
      <c r="A81" s="50"/>
      <c r="B81" s="119"/>
      <c r="C81" s="119"/>
      <c r="D81" s="45"/>
      <c r="E81" s="42"/>
      <c r="F81" s="118"/>
      <c r="G81" s="116"/>
      <c r="H81" s="116"/>
      <c r="I81" s="116"/>
      <c r="J81" s="116"/>
      <c r="K81" s="116"/>
    </row>
    <row r="82" spans="1:11" ht="15.75" customHeight="1" x14ac:dyDescent="0.3">
      <c r="A82" s="50"/>
      <c r="B82" s="119"/>
      <c r="C82" s="119"/>
      <c r="D82" s="45"/>
      <c r="E82" s="42"/>
      <c r="F82" s="118"/>
      <c r="G82" s="116"/>
      <c r="H82" s="116"/>
      <c r="I82" s="116"/>
      <c r="J82" s="116"/>
      <c r="K82" s="116"/>
    </row>
    <row r="83" spans="1:11" ht="15.75" customHeight="1" x14ac:dyDescent="0.3">
      <c r="A83" s="50"/>
      <c r="B83" s="119"/>
      <c r="C83" s="119"/>
      <c r="D83" s="45"/>
      <c r="E83" s="42"/>
      <c r="F83" s="118"/>
      <c r="G83" s="116"/>
      <c r="H83" s="116"/>
      <c r="I83" s="116"/>
      <c r="J83" s="116"/>
      <c r="K83" s="116"/>
    </row>
    <row r="84" spans="1:11" ht="15.75" customHeight="1" x14ac:dyDescent="0.3">
      <c r="A84" s="50"/>
      <c r="B84" s="119"/>
      <c r="C84" s="119"/>
      <c r="D84" s="45"/>
      <c r="E84" s="42"/>
      <c r="F84" s="118"/>
      <c r="G84" s="116"/>
      <c r="H84" s="116"/>
      <c r="I84" s="116"/>
      <c r="J84" s="116"/>
      <c r="K84" s="116"/>
    </row>
    <row r="85" spans="1:11" ht="15.75" customHeight="1" x14ac:dyDescent="0.3">
      <c r="A85" s="50"/>
      <c r="B85" s="119"/>
      <c r="C85" s="119"/>
      <c r="D85" s="45"/>
      <c r="E85" s="42"/>
      <c r="F85" s="118"/>
      <c r="G85" s="116"/>
      <c r="H85" s="116"/>
      <c r="I85" s="116"/>
      <c r="J85" s="116"/>
      <c r="K85" s="116"/>
    </row>
    <row r="86" spans="1:11" ht="15.75" customHeight="1" x14ac:dyDescent="0.3">
      <c r="A86" s="50"/>
      <c r="B86" s="119"/>
      <c r="C86" s="119"/>
      <c r="D86" s="45"/>
      <c r="E86" s="42"/>
      <c r="F86" s="118"/>
      <c r="G86" s="116"/>
      <c r="H86" s="116"/>
      <c r="I86" s="116"/>
      <c r="J86" s="116"/>
      <c r="K86" s="116"/>
    </row>
    <row r="87" spans="1:11" ht="15.75" customHeight="1" x14ac:dyDescent="0.3">
      <c r="A87" s="50"/>
      <c r="B87" s="119"/>
      <c r="C87" s="119"/>
      <c r="D87" s="45"/>
      <c r="E87" s="42"/>
      <c r="F87" s="118"/>
      <c r="G87" s="116"/>
      <c r="H87" s="116"/>
      <c r="I87" s="116"/>
      <c r="J87" s="116"/>
      <c r="K87" s="116"/>
    </row>
    <row r="88" spans="1:11" ht="15.75" customHeight="1" x14ac:dyDescent="0.3">
      <c r="A88" s="50"/>
      <c r="B88" s="119"/>
      <c r="C88" s="119"/>
      <c r="D88" s="45"/>
      <c r="E88" s="42"/>
      <c r="F88" s="118"/>
      <c r="G88" s="116"/>
      <c r="H88" s="116"/>
      <c r="I88" s="116"/>
      <c r="J88" s="116"/>
      <c r="K88" s="116"/>
    </row>
    <row r="89" spans="1:11" ht="15.75" customHeight="1" x14ac:dyDescent="0.3">
      <c r="A89" s="50"/>
      <c r="B89" s="119"/>
      <c r="C89" s="119"/>
      <c r="D89" s="45"/>
      <c r="E89" s="42"/>
      <c r="F89" s="118"/>
      <c r="G89" s="116"/>
      <c r="H89" s="116"/>
      <c r="I89" s="116"/>
      <c r="J89" s="116"/>
      <c r="K89" s="116"/>
    </row>
    <row r="90" spans="1:11" ht="15.75" customHeight="1" x14ac:dyDescent="0.3">
      <c r="A90" s="50"/>
      <c r="B90" s="119"/>
      <c r="C90" s="119"/>
      <c r="D90" s="45"/>
      <c r="E90" s="42"/>
      <c r="F90" s="118"/>
      <c r="G90" s="116"/>
      <c r="H90" s="116"/>
      <c r="I90" s="116"/>
      <c r="J90" s="116"/>
      <c r="K90" s="116"/>
    </row>
    <row r="91" spans="1:11" ht="15.75" customHeight="1" x14ac:dyDescent="0.3">
      <c r="A91" s="50"/>
      <c r="B91" s="119"/>
      <c r="C91" s="119"/>
      <c r="D91" s="45"/>
      <c r="E91" s="42"/>
      <c r="F91" s="118"/>
      <c r="G91" s="116"/>
      <c r="H91" s="116"/>
      <c r="I91" s="116"/>
      <c r="J91" s="116"/>
      <c r="K91" s="116"/>
    </row>
    <row r="92" spans="1:11" ht="15.75" customHeight="1" x14ac:dyDescent="0.3">
      <c r="A92" s="50"/>
      <c r="B92" s="119"/>
      <c r="C92" s="119"/>
      <c r="D92" s="45"/>
      <c r="E92" s="42"/>
      <c r="F92" s="118"/>
      <c r="G92" s="116"/>
      <c r="H92" s="116"/>
      <c r="I92" s="116"/>
      <c r="J92" s="116"/>
      <c r="K92" s="116"/>
    </row>
    <row r="93" spans="1:11" ht="15.75" customHeight="1" x14ac:dyDescent="0.3">
      <c r="A93" s="50"/>
      <c r="B93" s="119"/>
      <c r="C93" s="119"/>
      <c r="D93" s="45"/>
      <c r="E93" s="42"/>
      <c r="F93" s="118"/>
      <c r="G93" s="116"/>
      <c r="H93" s="116"/>
      <c r="I93" s="116"/>
      <c r="J93" s="116"/>
      <c r="K93" s="116"/>
    </row>
    <row r="94" spans="1:11" ht="15.75" customHeight="1" x14ac:dyDescent="0.3">
      <c r="A94" s="50"/>
      <c r="B94" s="119"/>
      <c r="C94" s="119"/>
      <c r="D94" s="45"/>
      <c r="E94" s="42"/>
      <c r="F94" s="118"/>
      <c r="G94" s="116"/>
      <c r="H94" s="116"/>
      <c r="I94" s="116"/>
      <c r="J94" s="116"/>
      <c r="K94" s="116"/>
    </row>
    <row r="95" spans="1:11" ht="15.75" customHeight="1" x14ac:dyDescent="0.3">
      <c r="A95" s="50"/>
      <c r="B95" s="119"/>
      <c r="C95" s="119"/>
      <c r="D95" s="45"/>
      <c r="E95" s="42"/>
      <c r="F95" s="118"/>
      <c r="G95" s="116"/>
      <c r="H95" s="116"/>
      <c r="I95" s="116"/>
      <c r="J95" s="116"/>
      <c r="K95" s="116"/>
    </row>
    <row r="96" spans="1:11" ht="15.75" customHeight="1" x14ac:dyDescent="0.3">
      <c r="A96" s="50"/>
      <c r="B96" s="119"/>
      <c r="C96" s="119"/>
      <c r="D96" s="45"/>
      <c r="E96" s="42"/>
      <c r="F96" s="118"/>
      <c r="G96" s="116"/>
      <c r="H96" s="116"/>
      <c r="I96" s="116"/>
      <c r="J96" s="116"/>
      <c r="K96" s="116"/>
    </row>
    <row r="97" spans="1:11" ht="15.75" customHeight="1" x14ac:dyDescent="0.3">
      <c r="A97" s="50"/>
      <c r="B97" s="119"/>
      <c r="C97" s="119"/>
      <c r="D97" s="45"/>
      <c r="E97" s="42"/>
      <c r="F97" s="118"/>
      <c r="G97" s="116"/>
      <c r="H97" s="116"/>
      <c r="I97" s="116"/>
      <c r="J97" s="116"/>
      <c r="K97" s="116"/>
    </row>
    <row r="98" spans="1:11" ht="15.75" customHeight="1" x14ac:dyDescent="0.3">
      <c r="A98" s="50"/>
      <c r="B98" s="119"/>
      <c r="C98" s="119"/>
      <c r="D98" s="45"/>
      <c r="E98" s="42"/>
      <c r="F98" s="118"/>
      <c r="G98" s="116"/>
      <c r="H98" s="116"/>
      <c r="I98" s="116"/>
      <c r="J98" s="116"/>
      <c r="K98" s="116"/>
    </row>
    <row r="99" spans="1:11" ht="15.75" customHeight="1" x14ac:dyDescent="0.3">
      <c r="A99" s="50"/>
      <c r="B99" s="119"/>
      <c r="C99" s="119"/>
      <c r="D99" s="45"/>
      <c r="E99" s="42"/>
      <c r="F99" s="118"/>
      <c r="G99" s="116"/>
      <c r="H99" s="116"/>
      <c r="I99" s="116"/>
      <c r="J99" s="116"/>
      <c r="K99" s="116"/>
    </row>
    <row r="100" spans="1:11" ht="15.75" customHeight="1" x14ac:dyDescent="0.3">
      <c r="A100" s="50"/>
      <c r="B100" s="119"/>
      <c r="C100" s="119"/>
      <c r="D100" s="45"/>
      <c r="E100" s="42"/>
      <c r="F100" s="118"/>
      <c r="G100" s="116"/>
      <c r="H100" s="116"/>
      <c r="I100" s="116"/>
      <c r="J100" s="116"/>
      <c r="K100" s="116"/>
    </row>
    <row r="101" spans="1:11" ht="15.75" customHeight="1" x14ac:dyDescent="0.3"/>
    <row r="102" spans="1:11" ht="15.75" customHeight="1" x14ac:dyDescent="0.3"/>
    <row r="103" spans="1:11" ht="15.75" customHeight="1" x14ac:dyDescent="0.3"/>
    <row r="104" spans="1:11" ht="15.75" customHeight="1" x14ac:dyDescent="0.3"/>
    <row r="105" spans="1:11" ht="15.75" customHeight="1" x14ac:dyDescent="0.3"/>
    <row r="106" spans="1:11" ht="15.75" customHeight="1" x14ac:dyDescent="0.3"/>
    <row r="107" spans="1:11" ht="15.75" customHeight="1" x14ac:dyDescent="0.3"/>
    <row r="108" spans="1:11" ht="15.75" customHeight="1" x14ac:dyDescent="0.3"/>
    <row r="109" spans="1:11" ht="15.75" customHeight="1" x14ac:dyDescent="0.3"/>
    <row r="110" spans="1:11" ht="15.75" customHeight="1" x14ac:dyDescent="0.3"/>
    <row r="111" spans="1:11" ht="15.75" customHeight="1" x14ac:dyDescent="0.3"/>
    <row r="112" spans="1:11"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rintOptions horizontalCentered="1"/>
  <pageMargins left="0.7" right="0.7" top="0.5" bottom="0.5" header="0" footer="0"/>
  <pageSetup paperSize="9" scale="6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DETAIL</vt:lpstr>
      <vt:lpstr>UJ</vt:lpstr>
      <vt:lpstr>DETAIL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Sam Leonard</cp:lastModifiedBy>
  <dcterms:created xsi:type="dcterms:W3CDTF">2013-07-08T09:36:48Z</dcterms:created>
  <dcterms:modified xsi:type="dcterms:W3CDTF">2024-10-04T19:23:09Z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false</vt:bool>
  </property>
  <property fmtid="{D5CDD505-2E9C-101B-9397-08002B2CF9AE}" pid="3" name="PlanSwiftJobName">
    <vt:lpwstr/>
  </property>
  <property fmtid="{D5CDD505-2E9C-101B-9397-08002B2CF9AE}" pid="4" name="PlanSwiftJobGuid">
    <vt:lpwstr/>
  </property>
  <property fmtid="{D5CDD505-2E9C-101B-9397-08002B2CF9AE}" pid="5" name="LinkedDataId">
    <vt:lpwstr>{CC901C49-626B-4C2D-98B4-A7AFEE61B422}</vt:lpwstr>
  </property>
</Properties>
</file>